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46" yWindow="65506" windowWidth="15480" windowHeight="9450" tabRatio="875" activeTab="0"/>
  </bookViews>
  <sheets>
    <sheet name="CAPA" sheetId="1" r:id="rId1"/>
    <sheet name="Tutorial" sheetId="2" r:id="rId2"/>
    <sheet name="Cadastro" sheetId="3" r:id="rId3"/>
    <sheet name="Sit.Saúde" sheetId="4" r:id="rId4"/>
    <sheet name="CRIANÇA" sheetId="5" r:id="rId5"/>
    <sheet name="ADOLESCENTE" sheetId="6" r:id="rId6"/>
    <sheet name="ADULTO" sheetId="7" r:id="rId7"/>
    <sheet name="GESTANTE" sheetId="8" r:id="rId8"/>
    <sheet name="IDOSO" sheetId="9" r:id="rId9"/>
    <sheet name="Outras ações" sheetId="10" r:id="rId10"/>
    <sheet name="Consolidado" sheetId="11" r:id="rId11"/>
    <sheet name="Monitoramento" sheetId="12" r:id="rId12"/>
    <sheet name="Fórmulas" sheetId="13" r:id="rId13"/>
    <sheet name="Gráficos" sheetId="14" r:id="rId14"/>
  </sheets>
  <definedNames>
    <definedName name="_xlnm.Print_Area" localSheetId="10">'Consolidado'!$B$2:$T$67</definedName>
    <definedName name="_xlnm.Print_Area" localSheetId="1">'Tutorial'!$B$2:$B$34</definedName>
    <definedName name="_xlnm.Print_Titles" localSheetId="5">'ADOLESCENTE'!$2:$5</definedName>
    <definedName name="_xlnm.Print_Titles" localSheetId="6">'ADULTO'!$1:$5</definedName>
    <definedName name="_xlnm.Print_Titles" localSheetId="4">'CRIANÇA'!$1:$5</definedName>
    <definedName name="_xlnm.Print_Titles" localSheetId="3">'Sit.Saúde'!$2:$4</definedName>
  </definedNames>
  <calcPr fullCalcOnLoad="1"/>
</workbook>
</file>

<file path=xl/sharedStrings.xml><?xml version="1.0" encoding="utf-8"?>
<sst xmlns="http://schemas.openxmlformats.org/spreadsheetml/2006/main" count="1253" uniqueCount="636">
  <si>
    <r>
      <t xml:space="preserve">
100% dos diabéticos participam de Grupos Operativos/ Educativos, sendo:
- 2 x/ano para o diabético sem tratamento medicamentoso, 1 conduzido pelo médico e 1 pelo enfermeiro;
- 3 x/ano para o diabético não usuário de insulina </t>
    </r>
    <r>
      <rPr>
        <u val="single"/>
        <sz val="11"/>
        <rFont val="Verdana"/>
        <family val="2"/>
      </rPr>
      <t>sem</t>
    </r>
    <r>
      <rPr>
        <sz val="11"/>
        <rFont val="Verdana"/>
        <family val="2"/>
      </rPr>
      <t xml:space="preserve"> hipertensão, 1 conduzido pelo médico e 2 pelo enfermeiro;
- 2 x/ano para o diabético usuário de insulina, 1 conduzido pelo médico e 1 pelo enfermeiro.
</t>
    </r>
    <r>
      <rPr>
        <sz val="10"/>
        <rFont val="Verdana"/>
        <family val="2"/>
      </rPr>
      <t xml:space="preserve">
Obs: os diabéticos não usuários de insulina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hipertensão já participam dos grupos operativos programados para o usuário com hipertensão.</t>
    </r>
    <r>
      <rPr>
        <sz val="11"/>
        <rFont val="Verdana"/>
        <family val="2"/>
      </rPr>
      <t xml:space="preserve">
Grupos:
- 20 participantes;
- duração: 1 hora.                   </t>
    </r>
  </si>
  <si>
    <r>
      <t xml:space="preserve">
100% dos diabéticos realizam consulta, sendo:
- diabéticos sem tratamento medicamentoso: 1 consulta médica;
- diabéticos não usuários de insulina sem hipertensão: 2 consultas médicas;
- diabéticos usuários de insulina: 2 consultas médicas e 1 consulta de enfermagem.
</t>
    </r>
    <r>
      <rPr>
        <sz val="10"/>
        <rFont val="Verdana"/>
        <family val="2"/>
      </rPr>
      <t xml:space="preserve">
Obs: os diabéticos não usuários de insulina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hipertensão já participam dos grupos operativos programados para o usuário com hipertensão.</t>
    </r>
  </si>
  <si>
    <t>8% da população adulta e idosa</t>
  </si>
  <si>
    <t>20% da população adulta e idosa</t>
  </si>
  <si>
    <r>
      <t xml:space="preserve">
100% dos idosos realizam consulta complementar de enfermagem após os 2 grupos educativos.
</t>
    </r>
    <r>
      <rPr>
        <sz val="10"/>
        <rFont val="Verdana"/>
        <family val="2"/>
      </rPr>
      <t>Obs: os idosos com hipertensão/diabete participarão dos grupos educativos já programada para estas finalidades.</t>
    </r>
  </si>
  <si>
    <r>
      <t xml:space="preserve">
100% dos idosos de risco habitual participam de grupos educativos 2 vezes por ano, sendo:
- 1 grupo conduzido por médico;
- 1 grupo conduzido por enfermeiro.
</t>
    </r>
    <r>
      <rPr>
        <sz val="10"/>
        <rFont val="Verdana"/>
        <family val="2"/>
      </rPr>
      <t>Obs: os idosos com hipertensão/diabete participarão dos grupos educativos já programada para estas finalidades.</t>
    </r>
  </si>
  <si>
    <t>MONITORAMENTO</t>
  </si>
  <si>
    <t>INDICADOR</t>
  </si>
  <si>
    <t>REALIZADO</t>
  </si>
  <si>
    <t>ATIVIDADES A REALIZAR</t>
  </si>
  <si>
    <t>USUÁRIOS ou ATIVIDADES por ANO</t>
  </si>
  <si>
    <t>USUÁRIOS ou ATIVIDADES por 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</si>
  <si>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</si>
  <si>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</si>
  <si>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</si>
  <si>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</si>
  <si>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</si>
  <si>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</si>
  <si>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</si>
  <si>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</si>
  <si>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</si>
  <si>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</si>
  <si>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</si>
  <si>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</si>
  <si>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ACUMULADO</t>
  </si>
  <si>
    <t>No</t>
  </si>
  <si>
    <t>porcentagem de RN CADASTRADOS na PUERICULTURA</t>
  </si>
  <si>
    <t>porcentagem de CONSULTAS médicas e de enfermagem de PUERICULTURA realizadas</t>
  </si>
  <si>
    <t>consultas</t>
  </si>
  <si>
    <t>porcentagem de ADOLESCENTES de 10 a 14 anos que realizaram CONSULTAS médicas de acompanhamento</t>
  </si>
  <si>
    <t>porcentagem de CONSULTAS médicas e de enfermagem realizadas para ADOLESCENTES do sexo FEMININO para orientação sobre métodos anticonceptivos</t>
  </si>
  <si>
    <t>ADULTO - HIPERTENSÃO E DIABETES</t>
  </si>
  <si>
    <t>porcentagem de HIPERTENSOS CADASTRADOS no acompanhamento</t>
  </si>
  <si>
    <t>porcentagem de CONSULTAS médicas e de enfermagem realizadas para HIPERTENSOS</t>
  </si>
  <si>
    <t>porcentagem de DIABÉTICOS CADASTRADOS no acompanhamento</t>
  </si>
  <si>
    <t>porcentagem de CONSULTAS médicas e de enfermagem realizadas para DIABÉTICOS</t>
  </si>
  <si>
    <t>ADULTO - TUBERCULOSE, HANSENÍASE E HIV/AIDS</t>
  </si>
  <si>
    <t>porcentagem de usuários com TUBERCULOSE CADASTRADOS no acompanhamento</t>
  </si>
  <si>
    <t>porcentagem de usuários com HANSENÍASE CADASTRADOS no acompanhamento</t>
  </si>
  <si>
    <t>porcentagem de usuários com HIV/AIDS CADASTRADOS no acompanhamento</t>
  </si>
  <si>
    <t>ADULTO - CÂNCER DA MULHER</t>
  </si>
  <si>
    <t>porcentagem de MULHERES de 25 a 59 anos que fizeram coleta de papanicolau</t>
  </si>
  <si>
    <t>porcentagem de MULHERES na fx etária de 50 a 69 anos que realizaram MAMOGRAFIA</t>
  </si>
  <si>
    <t>ADULTO - SAÚDE MENTAL</t>
  </si>
  <si>
    <t>porcentagem de usuários com uso prejudicial ou abuso de SUBSTÂNCIAS LÍCITAS ou ILÍCITAS CADASTRADOS no acompanhamento</t>
  </si>
  <si>
    <t>porcentagem de usuários com PATOLOGIAS GRAVES CADASTRADOS no acompanhamento</t>
  </si>
  <si>
    <t>usuários  com  com patologias graves.</t>
  </si>
  <si>
    <t>GESTANTE</t>
  </si>
  <si>
    <t>porcentagem de GESTANTES de RISCO HABITUAL CADASTRADAS no acompanhamento</t>
  </si>
  <si>
    <t>porcentagem de CONSULTAS médicas e de enfermagem de PRÉ-NATAL realizadas para gestantes de risco HABITUAL</t>
  </si>
  <si>
    <t>porcentagem de GESTANTES de ALTO RISCO CADASTRADAS no acompanhamento</t>
  </si>
  <si>
    <t>porcentagem de CONSULTAS médicas e de enfermagem de PRÉ-NATAL realizadas para gestantes de ALTO risco</t>
  </si>
  <si>
    <t>porcentagem de IDOSOS de RISCO HABITUAL CADASTRADOS no acompanhamento</t>
  </si>
  <si>
    <t>idosos de  risco habitual</t>
  </si>
  <si>
    <t>porcentagem de CONSULTAS médicas e de enfermagem de acompanhamento realizadas para IDOSOS de RISCO HABITUAL</t>
  </si>
  <si>
    <t>porcentagem de IDOSOS de ALTO RISCO CADASTRADOS no acompanhamento</t>
  </si>
  <si>
    <t>porcentagem de CONSULTAS médicas e de enfermagem de acompanhamento realizadas para IDOSOS de ALTO RISCO</t>
  </si>
  <si>
    <t>Recé-nascidos</t>
  </si>
  <si>
    <t>Esperado</t>
  </si>
  <si>
    <t>Realizado</t>
  </si>
  <si>
    <t>Cons. Puericult</t>
  </si>
  <si>
    <t>Adol 10-14</t>
  </si>
  <si>
    <t>Cons. Adls Fem.</t>
  </si>
  <si>
    <t>Hipert. Cadastr</t>
  </si>
  <si>
    <t>Cons. Hipert.</t>
  </si>
  <si>
    <t>Diab. Cadastr.</t>
  </si>
  <si>
    <t>Cons. Diab</t>
  </si>
  <si>
    <t>HIV CADASTR</t>
  </si>
  <si>
    <t xml:space="preserve"> Papanicolau</t>
  </si>
  <si>
    <t>Mamografia</t>
  </si>
  <si>
    <t>Gest risco hab.l</t>
  </si>
  <si>
    <t>Cons Gest R. Habit</t>
  </si>
  <si>
    <t>Gest alto risco</t>
  </si>
  <si>
    <t>Cons. Gest A R</t>
  </si>
  <si>
    <t>Idoso risc habit</t>
  </si>
  <si>
    <t>Cons id risc hab</t>
  </si>
  <si>
    <t>Idoso alto risco</t>
  </si>
  <si>
    <t>Cons idos at ris</t>
  </si>
  <si>
    <t>FÓRMULA</t>
  </si>
  <si>
    <t>número de RN CADASTRADOS na PUERICULTURA</t>
  </si>
  <si>
    <t>x100</t>
  </si>
  <si>
    <t>número total estimado de recém-nascidos da área de responsabilidade</t>
  </si>
  <si>
    <t>número de CONSULTAS médicas e de enfermagem de PUERICULTURA realizadas</t>
  </si>
  <si>
    <t>número total de consultas de puericultura planejadas</t>
  </si>
  <si>
    <t>número de ADOLESCENTES de 10 a 14 anos que realizaram CONSULTAS médicas de acompanhamento</t>
  </si>
  <si>
    <t>número total de adolescentes de 10 a 14 anos da área de responsabilidade</t>
  </si>
  <si>
    <t>número de CONSULTAS médicas e de enfermagem realizadas para ADOLESCENTES do sexo FEMININO para orientação sobre métodos anticonceptivos</t>
  </si>
  <si>
    <t>número total de consultas planejadas para ADOLESCENTES do sexo FEMININO para orientação sobre métodos anticonceptivos</t>
  </si>
  <si>
    <t>número de HIPERTENSOS CADASTRADOS no acompanhamento</t>
  </si>
  <si>
    <t>número estimado de hipertensos da área de responsabilidade</t>
  </si>
  <si>
    <t>número de CONSULTAS médicas e de enfermagem realizadas para HIPERTENSOS</t>
  </si>
  <si>
    <t>número total de consultas planejadas para hipertensos</t>
  </si>
  <si>
    <t>número de DIABÉTICOS CADASTRADOS no acompanhamento</t>
  </si>
  <si>
    <t>número estimado de diabéticos da área de responsabilidade</t>
  </si>
  <si>
    <t>número de CONSULTAS médicas e de enfermagem realizadas para DIABÉTICOS</t>
  </si>
  <si>
    <t>número total de consultas planejadas para diabéticos</t>
  </si>
  <si>
    <t>número de usuários com TUBERCULOSE CADASTRADOS no acompanhamento</t>
  </si>
  <si>
    <t>número estimado de usuários com tuberculose da área de responsabilidade</t>
  </si>
  <si>
    <t>número de usuários com HANSENÍASE CADASTRADOS no acompanhamento</t>
  </si>
  <si>
    <t>número estimado de usuários com hanseníase da área de responsabilidade</t>
  </si>
  <si>
    <t>número de usuários com HIV/AIDS CADASTRADOS no acompanhamento</t>
  </si>
  <si>
    <t>número estimado de usuários com hiv/aids da área de responsabilidade</t>
  </si>
  <si>
    <t>número de MULHERES de 25 a 59 anos que fizeram coleta de papanicolau</t>
  </si>
  <si>
    <t>número total de mulheres de 25 a 59 anos da área de responsabilidade</t>
  </si>
  <si>
    <t>número de MULHERES na fx etária de 50 a 69 anos que realizaram MAMOGRAFIA</t>
  </si>
  <si>
    <t>número estimado de mulheres na fx etária de 50 a 69 anos com mamografia programada</t>
  </si>
  <si>
    <t>número de usuários com uso prejudicial ou abuso de SUBSTÂNCIAS LÍCITAS ou ILÍCITAS CADASTRADOS no acompanhamento</t>
  </si>
  <si>
    <t>número estimado de usuários com uso prejudicial ou abuso de substâncias lícitas ou ilícitas da área de responsabilidade</t>
  </si>
  <si>
    <t>número de usuários com PATOLOGIAS GRAVES CADASTRADOS no acompanhamento</t>
  </si>
  <si>
    <t>número estimado de usuários com patologias graves da área de responsabilidade</t>
  </si>
  <si>
    <t>número de GESTANTES de RISCO HABITUAL CADASTRADAS no acompanhamento</t>
  </si>
  <si>
    <t>número estimado de gestantes de risco habitual da área de responsabilidade</t>
  </si>
  <si>
    <t>número de CONSULTAS médicas e de enfermagem de PRÉ-NATAL realizadas para gestantes de risco HABITUAL</t>
  </si>
  <si>
    <t>número total de consultas de pré-natal planejadas</t>
  </si>
  <si>
    <t>número de GESTANTES de ALTO RISCO CADASTRADAS no acompanhamento</t>
  </si>
  <si>
    <t>número estimado de gestantes de alto risco da área de responsabilidade</t>
  </si>
  <si>
    <t>número de CONSULTAS médicas e de enfermagem de PRÉ-NATAL realizadas para gestantes de ALTO risco</t>
  </si>
  <si>
    <t>número de IDOSOS de RISCO HABITUAL CADASTRADOS no acompanhamento</t>
  </si>
  <si>
    <t>número estimado de idosos de risco habitual da área de responsabilidade</t>
  </si>
  <si>
    <t>número de CONSULTAS médicas e de enfermagem de acompanhamento realizadas para IDOSOS de RISCO HABITUAL</t>
  </si>
  <si>
    <t>número total de consultas de acompanhamento planejadas para idosos de risco habitual</t>
  </si>
  <si>
    <t>número de IDOSOS de ALTO RISCO CADASTRADOS no acompanhamento</t>
  </si>
  <si>
    <t>número estimado de idosos de alto risco da área de responsabilidade</t>
  </si>
  <si>
    <t>número de CONSULTAS médicas e de enfermagem de acompanhamento realizadas para IDOSOS de ALTO RISCO</t>
  </si>
  <si>
    <t>número total de consultas de acompanhamento planejadas para idosos de alto risco</t>
  </si>
  <si>
    <t xml:space="preserve">GRÁFICOS </t>
  </si>
  <si>
    <t xml:space="preserve">
Realizar Grupos Educativos alternadas com as consultas de acompanhamento para todos os idosos de risco habitual cadastrados.</t>
  </si>
  <si>
    <t xml:space="preserve">
100% dos idosos são imunizados de acordo com o calendário vigente:
- Contra Influenza: 1 x/ano para todos;
- Contra Pneumococo: dose única, prioritária para idoso frágil;
- Contra Tétano e Febre Amarela: atualização a cada 10 anos para todos.</t>
  </si>
  <si>
    <t xml:space="preserve">
Garantir imunização para todos os idosos, conforme o protocolo.</t>
  </si>
  <si>
    <t xml:space="preserve">
Realizar consultas de acompanhamento, complementares àquelas do serviço de referência,  para todos os idosos de alto risco.</t>
  </si>
  <si>
    <r>
      <t xml:space="preserve">
100% dos idosos de alto risco  realizam consulta de acompanhamento, sendo:
- 2 consultas médicas por ano; 
- 1 consulta de enfermagem por ano.
</t>
    </r>
    <r>
      <rPr>
        <sz val="10"/>
        <rFont val="Verdana"/>
        <family val="2"/>
      </rPr>
      <t xml:space="preserve">
Obs: os idosos acamados receberão consulta domiciliar.</t>
    </r>
  </si>
  <si>
    <t xml:space="preserve">
Realizar consultas de acompanhamento para todos os idosos de risco habitual.</t>
  </si>
  <si>
    <r>
      <t xml:space="preserve">
100% dos idosos de risco habitual realizam consultas de acompanhamento, sendo:
- 1 consulta médica por ano.
</t>
    </r>
    <r>
      <rPr>
        <sz val="10"/>
        <rFont val="Verdana"/>
        <family val="2"/>
      </rPr>
      <t xml:space="preserve">
Obs: os idosos com hipertensão/diabete serão avaliados nas consultas já programadas para estas finalidades. Portanto, no cálculo da planilha de consolidado, o número destes idosos será subtraído do total para esta atividade específica.</t>
    </r>
  </si>
  <si>
    <t xml:space="preserve">
Realizar consultas complementares de enfermagem após os Grupos  Educativos para todos os idosos de  risco habitual cadastrados.</t>
  </si>
  <si>
    <t xml:space="preserve">
Realizar visitas domiciliares para consulta de usuários com condições ou patologias graves.</t>
  </si>
  <si>
    <t xml:space="preserve">
Deve ser definido o número de horas para visita domiciliares.
Duração média de cada visita: 1 hora.</t>
  </si>
  <si>
    <t xml:space="preserve">
Realizar atividades de educação permanente.</t>
  </si>
  <si>
    <t xml:space="preserve">
Educação permanente:
- horário prefixado semanalmente ou quinzenalmente;
- duração mínima: 4 horas por semana.</t>
  </si>
  <si>
    <t xml:space="preserve">
Realizar atividades administrativas.</t>
  </si>
  <si>
    <t xml:space="preserve">
Atividade administrativa:
- horário prefixado por semana
- duração: 1 hora.</t>
  </si>
  <si>
    <t xml:space="preserve">
Realizar supervisão da equipe de enfermagem e agentes comunitários.</t>
  </si>
  <si>
    <t xml:space="preserve">
Atividades de enfermagem:
- supervisão da atividade técnica de enfermagem (técnicos e auxiliares): vacinação, curativo, administração de medicamentos, controle do expurgo, etc;
- atividade administrativa: escala de enfermagem, controle de material de consumo, mapa de vacinação, controle do registro de produtividade, etc ;
- supervisão da atividade do ACS: visitas domiciliares, preenchimento de formulários;
- investigação de óbitos infantis e maternos ocorridos na área de responsabilidade da UBS;
- educação permanente de técnicos de enfermagem e ACS;
- campanhas de vacinação e outras campanhas;
- outras.
Deve ser definido o número total de horas semanais para estas atividades.</t>
  </si>
  <si>
    <t xml:space="preserve">
Realizar atividades administrativas</t>
  </si>
  <si>
    <t xml:space="preserve">
Deve ser definido o número de horas semanais para visita domiciliares.
Duração média de cada visita: 1 hora.</t>
  </si>
  <si>
    <t>aplicações de vacina em adolescentes</t>
  </si>
  <si>
    <t>aplicações de vacina adulto</t>
  </si>
  <si>
    <t>aplicações de vacina em idosos</t>
  </si>
  <si>
    <t>aplicações de vacina em gestantes</t>
  </si>
  <si>
    <t xml:space="preserve">
Realizar vacinação para todas os usuários da área de responsabilidade da UBS, de acordo com o calendário vigente.</t>
  </si>
  <si>
    <t>SECRETARIA DE ESTADO DE SAÚDE</t>
  </si>
  <si>
    <t>Situação de Saúde</t>
  </si>
  <si>
    <t>Ações gerais</t>
  </si>
  <si>
    <t>Monitoramento</t>
  </si>
  <si>
    <t>2. ADOLESCENTE</t>
  </si>
  <si>
    <t>7. HIV/AIDS</t>
  </si>
  <si>
    <t>9. CÂNCER DA MULHER</t>
  </si>
  <si>
    <t>10. GESTANTE</t>
  </si>
  <si>
    <t>11. IDOSO</t>
  </si>
  <si>
    <t>idosos de alto risco</t>
  </si>
  <si>
    <t>CARGA HORÁRIA DIÁRIA 
(em horas)</t>
  </si>
  <si>
    <t>Avaliação ou exame ou consulta complementar de enfermagem</t>
  </si>
  <si>
    <t>ATIVIDADES PROGRAMADAS</t>
  </si>
  <si>
    <t>DURAÇAO
(em minutos)</t>
  </si>
  <si>
    <t>ATIVIDADES - DEMANDA PROGRAMADA - ANO</t>
  </si>
  <si>
    <t>TOTAL ANUAL</t>
  </si>
  <si>
    <t>Planilha: 8 - Consolidado</t>
  </si>
  <si>
    <t>crianças
&lt; 1 ano do grupo I de risco</t>
  </si>
  <si>
    <t>ADOLES-
CENTE</t>
  </si>
  <si>
    <t>ADULTO</t>
  </si>
  <si>
    <t>COBERTURA DE ATENDIMENTO</t>
  </si>
  <si>
    <t>mulheres</t>
  </si>
  <si>
    <t>mulheres de 25 a 59 anos</t>
  </si>
  <si>
    <t>consulta médica com exame clínico de mamas</t>
  </si>
  <si>
    <t>consulta de enfermagem com exame clínico de mamas</t>
  </si>
  <si>
    <t>mamografias</t>
  </si>
  <si>
    <t>consulta médica com coleta de exame papanicolau</t>
  </si>
  <si>
    <t>consulta de enfermagem com coleta de exame papanicolau</t>
  </si>
  <si>
    <t>gestantes</t>
  </si>
  <si>
    <t>gestantes de risco habitual</t>
  </si>
  <si>
    <t>gestantes de alto risco</t>
  </si>
  <si>
    <t>puérperas</t>
  </si>
  <si>
    <t>POP. ALVO ATENDIDA</t>
  </si>
  <si>
    <t>1,54/10.000 habitantes (corresponde a 0,015% da população)</t>
  </si>
  <si>
    <t>SAÚDE DA CRIANÇA</t>
  </si>
  <si>
    <t>ATIVIDADE</t>
  </si>
  <si>
    <t>RESPONSÁVEL</t>
  </si>
  <si>
    <t>ACS</t>
  </si>
  <si>
    <t>Técnico de enfermagem</t>
  </si>
  <si>
    <t>Enfermeiro</t>
  </si>
  <si>
    <t>DESCRIÇÃO</t>
  </si>
  <si>
    <t>VISITA DOMICILIAR - MÉDICO</t>
  </si>
  <si>
    <t>VISITA DOMICILIAR - ENFERMEIRO</t>
  </si>
  <si>
    <t>SUPERVISÃO E GERÊNCIA - ENFERMEIRO</t>
  </si>
  <si>
    <t>VISITA DOMICILIAR - ACS</t>
  </si>
  <si>
    <t>VISITA DOMICILIAR - TÉCNICO ENFERMAGEM</t>
  </si>
  <si>
    <t>Visita domiciliar - médico</t>
  </si>
  <si>
    <t>Visita domiciliar - enfermeiro</t>
  </si>
  <si>
    <t>Visita domiciliar - técnico de enfermagem</t>
  </si>
  <si>
    <t>Supervisão e gerência - enfermeiro</t>
  </si>
  <si>
    <t>OUTRAS AÇÕES</t>
  </si>
  <si>
    <t>3. HIPERTENSÃO (inclui adulto e idoso)</t>
  </si>
  <si>
    <t>4. DIABETE (inclui adulto e idoso)</t>
  </si>
  <si>
    <t>5. TUBERCULOSE (toda a população)</t>
  </si>
  <si>
    <t>6. HANSENÍASE (toda a população)</t>
  </si>
  <si>
    <t>visitas domiciliares</t>
  </si>
  <si>
    <t>testes do pezinho</t>
  </si>
  <si>
    <t>Médico</t>
  </si>
  <si>
    <t>consultas médicas</t>
  </si>
  <si>
    <t>consultas de enfermagem</t>
  </si>
  <si>
    <t>aplicações de vacina</t>
  </si>
  <si>
    <t>atividades educativas</t>
  </si>
  <si>
    <t>PRAZO</t>
  </si>
  <si>
    <t>ATIVIDADES</t>
  </si>
  <si>
    <t>RN</t>
  </si>
  <si>
    <t>ACOMPANHAMENTO DAS CRIANÇAS DE RISCO</t>
  </si>
  <si>
    <t>Na planilha "9 -Consolidado" será definida a carga horária semanal para atividades de educação permanente.</t>
  </si>
  <si>
    <r>
      <t xml:space="preserve">Crianças &lt; 1 ano, com risco do grupo I </t>
    </r>
    <r>
      <rPr>
        <sz val="8"/>
        <rFont val="Verdana"/>
        <family val="2"/>
      </rPr>
      <t>(ver Linha-guia Atenção à Saúde da Criança)</t>
    </r>
  </si>
  <si>
    <r>
      <t xml:space="preserve">Crianças &lt; 1 ano, com risco do grupo II </t>
    </r>
    <r>
      <rPr>
        <sz val="8"/>
        <rFont val="Verdana"/>
        <family val="2"/>
      </rPr>
      <t>(ver Linha-guia Atenção à Saúde da Criança)</t>
    </r>
  </si>
  <si>
    <r>
      <t xml:space="preserve">Crianças 1-5 anos, com risco do grupo I </t>
    </r>
    <r>
      <rPr>
        <sz val="8"/>
        <rFont val="Verdana"/>
        <family val="2"/>
      </rPr>
      <t>(ver Linha-guia Atenção à Saúde da Criança)</t>
    </r>
  </si>
  <si>
    <r>
      <t xml:space="preserve">Crianças 1-5 anos, com risco do grupo II </t>
    </r>
    <r>
      <rPr>
        <sz val="8"/>
        <rFont val="Verdana"/>
        <family val="2"/>
      </rPr>
      <t>(ver Linha-guia Atenção à Saúde da Criança)</t>
    </r>
  </si>
  <si>
    <t>10% das crianças &lt; 1 ano podem ser consideradas com algum dos fatores de risco do grupo I e devem ser acompanhadas</t>
  </si>
  <si>
    <t>10% das crianças 1-5 anos podem ser consideradas com algum dos fatores de risco do grupo I e devem ser acompanhadas</t>
  </si>
  <si>
    <t>20% das crianças 1-5 anos podem ser consideradas com algum dos fatores de risco do grupo II e devem ser acompanhadas</t>
  </si>
  <si>
    <t>20% das crianças &lt; 1 ano podem ser consideradas com algum dos fatores de risco do grupo II e devem ser acompanhadas</t>
  </si>
  <si>
    <r>
      <t xml:space="preserve">1 </t>
    </r>
    <r>
      <rPr>
        <sz val="10"/>
        <rFont val="Verdana"/>
        <family val="2"/>
      </rPr>
      <t>ano</t>
    </r>
  </si>
  <si>
    <t xml:space="preserve">
Realizar visita domiciliar para todos os RN, nas primeiras 24/48 horas pós-alta.</t>
  </si>
  <si>
    <t xml:space="preserve">
100% dos RN recebem visita domiciliar nas primeiras 24/48 horas pós-alta para:
- ações de educação em saúde;
- orientação sobre Ações do 5º Dia e cadastro na puericultura;
- identificação de RN de risco.</t>
  </si>
  <si>
    <t xml:space="preserve">
Realizar a Triagem Neonatal para todas os RN, conforme o preconizado no Protocolo.</t>
  </si>
  <si>
    <r>
      <t xml:space="preserve">
100% dos RN realizam o Teste do Pezinho entre o 3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e 7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dia de vida.</t>
    </r>
  </si>
  <si>
    <t xml:space="preserve">
Realizar  consultas de acompanhamento para todas as crianças (com e sem risco) no primeiro ano de vida.</t>
  </si>
  <si>
    <t xml:space="preserve">
100% das crianças inscritas realizam no mínimo 7 consultas (3 médicas e 4 de enfermagem) no primeiro ano de vida, sendo no mínimo:
- 3 consultas no 1º trimestre;
- 2 consultas no 2º trimestre;
- 1 consulta no 3º trimestre;
- 1 consulta no 4º trimestre.
</t>
  </si>
  <si>
    <t xml:space="preserve">
Garantir a imunização conforme o preconizado no Protocolo.</t>
  </si>
  <si>
    <t xml:space="preserve">
Realizar atividades educativas alternadas com as consultas da puericultura.</t>
  </si>
  <si>
    <t xml:space="preserve">
100% das crianças menores de 1 ano inscritas na puericultura são imunizadas conforme o calendário vacinal vigente.
Cada criança receberá 12 aplicações.</t>
  </si>
  <si>
    <t xml:space="preserve">
As mães ou responsáveis de 100% das crianças inscritas na puericultura participam de 4 atividades educativas durante o primeiro ano de vida da criança, sendo:
- 2 conduzidas pelo médico;
- 2 conduzidas pelo enfermeiro.
Atividades educativas:
- grupos de 20 participantes;
- duração de 1 hora.</t>
  </si>
  <si>
    <t xml:space="preserve">
Realizar consultas de acompanhamento para todas as crianças &lt; 5 anos do Grupo I de Risco.</t>
  </si>
  <si>
    <t xml:space="preserve">
100% das crianças &lt; 5 anos do grupo I de risco realizam consultas médicas e de enfermagem alternadas, sendo:
- crianças &lt; 1 ano: 3 consultas médicas e 2 de enfermagem, realizadas nos meses em que não há puericultura, somando, assim, um controle mensal da criança;
- crianças de 1 a 4 anos: 2 consultas médicas e 3 de enfermagem.</t>
  </si>
  <si>
    <t xml:space="preserve">
Realizar consultas de acompanhamento para todas as crianças &lt; 5 anos do grupo II de risco, em complemento ao acompanhamento do serviço de referência.</t>
  </si>
  <si>
    <r>
      <t xml:space="preserve">porcentagem de DIABÉTICOS CADASTRADOS no acompanhamento
</t>
    </r>
    <r>
      <rPr>
        <sz val="9"/>
        <rFont val="Verdana"/>
        <family val="2"/>
      </rPr>
      <t>(Os diabéticos portadores de hipertensão devem
 ser considerados no grupo de hipertensos)</t>
    </r>
  </si>
  <si>
    <t xml:space="preserve">
100% das crianças &lt; 5 anos do grupo II de risco realizam consultas médicas e de enfermagem alternadas, sendo:
- crianças &lt; 1 ano: serão acompanhadas nas consultas de puericultura e no serviço de referência;
- crianças de 1 a 4 anos: 1 consulta médica e 1 de enfermagem.</t>
  </si>
  <si>
    <t xml:space="preserve">
Realizar atividades educativas alternadas com as consultas.</t>
  </si>
  <si>
    <t xml:space="preserve">
100% das mães ou responsáveis de crianças de risco I e II participam de 4 atividades educativas anuais (2 conduzidas pelo médico e 2  conduzidas pelo enfermeiro), sendo:
- crianças &lt; 1 ano: já participam dos grupos educativos da puericultura e, por isso, não serão consideradas nestes grupos;
- crianças de 1 a 4 anos: 4 atividades educativas por ano.
</t>
  </si>
  <si>
    <t>.</t>
  </si>
  <si>
    <t>ACOMPANHAMENTO DO ADOLESCENTE</t>
  </si>
  <si>
    <t>ACOMPANHAMENTO DO ADOLESCENTE DE RISCO</t>
  </si>
  <si>
    <t>USUÁRIOS</t>
  </si>
  <si>
    <t xml:space="preserve">
Realizar consultas complementares de enfermagem após os Grupos Operativos/ Educativos para todos os hipertensos cadastrados.</t>
  </si>
  <si>
    <t>(para abrir os tópicos, clique no sinal + no lado esquerdo da tela)</t>
  </si>
  <si>
    <t xml:space="preserve">
100% dos hipertensos realizam consulta complementar de enfermagem, sendo:
- 2 cons/ano para o hipertenso de baixo risco;
- 3 cons/ano para o hipertenso de médio risco;
- 2 cons/ano para o hipertenso de alto e muito alto risco.</t>
  </si>
  <si>
    <t xml:space="preserve">
Realizar consultas de acompanhamento para todos os hipertensos  cadastrados, sendo consultas domiciliares no caso de usuários acamados.</t>
  </si>
  <si>
    <t xml:space="preserve">
100% dos hipertensos cadastrados realizam consultas médicas e de enfermagem de acompanhamento, sendo:
- hipertenso de baixo risco: 1 consulta médica/ano;
- hipertenso de médio risco: 2 consultas/ano (1 médica e 1 de enfermagem);
- hipertenso de alto e muito al risco: 2 consultas/ano (1 médica e 1 de enfermagem), em complemento às consultadas do centro de referência.</t>
  </si>
  <si>
    <t xml:space="preserve">
100% dos hipertensos recebem visitas  domiciliares mensais.</t>
  </si>
  <si>
    <t xml:space="preserve">
Realizar Grupos Operativos/ Educativos para todos os diabéticos cadastrados.</t>
  </si>
  <si>
    <t xml:space="preserve">
Realizar consultas complementares de enfermagem após os Grupos Operativos/ Educativos para todos os diabéticos  cadastrados.</t>
  </si>
  <si>
    <t xml:space="preserve">
Realizar consultas de acompanhamento para todos os diabéticos cadastrados, sendo consultas domiciliares no caso de usuários acamados.</t>
  </si>
  <si>
    <t>CONSOLIDADO</t>
  </si>
  <si>
    <t xml:space="preserve">
Realizar visitas domiciliares mensais, pelo ACS, para todos os diabéticos cadastrados.</t>
  </si>
  <si>
    <t xml:space="preserve">
100% dos diabéticos recebem visitas domiciliares.</t>
  </si>
  <si>
    <t xml:space="preserve">
Realizar consulta médica para todos os adultos sintomáticos respiratórios.</t>
  </si>
  <si>
    <t xml:space="preserve">
100% dos adultos sintomáticos respiratórios realizam 1 consulta médica.</t>
  </si>
  <si>
    <t xml:space="preserve">
Realizar consultas para tratamento de todos os usuários que tiveram confirmação do diagnóstico.</t>
  </si>
  <si>
    <t xml:space="preserve">
100% dos adultos com tuberculose realizam consultas mensais de acompanhamento, sendo:
- 3 consultas médicas;
- 3 consultas de enfermagem.
Duração do tratamento: 6 meses;
</t>
  </si>
  <si>
    <t xml:space="preserve">
Realizar consulta médica para todos os contatos de adultos com tuberculose pulmonar.</t>
  </si>
  <si>
    <t xml:space="preserve">
100% dos contatos realizam consulta médica.</t>
  </si>
  <si>
    <t>22% da população adulta e idosa</t>
  </si>
  <si>
    <t>12% da população adulta e idosa</t>
  </si>
  <si>
    <t>10% da população adulta e idosa</t>
  </si>
  <si>
    <t xml:space="preserve">
Realizar exame de enfermagem para todos os sintomáticos dermatológicos para identificação dos suspeitos de hanseníase.</t>
  </si>
  <si>
    <t xml:space="preserve">
100% dos sintomáticos dermatológicos realizam 1 exame de enfermagem.</t>
  </si>
  <si>
    <t xml:space="preserve">
Realizar consulta médica para diagnóstico de hanseníase de todos os usuários suspeitos de hanseníase.</t>
  </si>
  <si>
    <t xml:space="preserve">
100% dos usuários com suspeição de hanseníase realizam 1 consulta médica.</t>
  </si>
  <si>
    <t xml:space="preserve">
Realizar consultas médicas de todos os usuários com hanseníase.</t>
  </si>
  <si>
    <t xml:space="preserve">
100% dos usuários realizam consultas, sendo:
- 4 consultas médicas;
- 4 consultas de enfermagem.</t>
  </si>
  <si>
    <t xml:space="preserve">
Realizar dose supervisionada mensal, por técnico de enfermagem, para todos os usuários com hanseníase.</t>
  </si>
  <si>
    <t xml:space="preserve">
100% dos usuários com hanseníase recebem dose supervisionada, sendo:
- no máximo 12 doses em 18 meses (que corresponde a 8 doses em 12 meses).</t>
  </si>
  <si>
    <t xml:space="preserve">
Realizar consultas médicas mensais para tratamento – medicamentoso e de estimulação do auto-cuidado - dos usuários com surtos reacionais.</t>
  </si>
  <si>
    <t xml:space="preserve">
Realizar aconselhamento pós-teste.</t>
  </si>
  <si>
    <t xml:space="preserve">
100% dos portadores do HIV testados na UBS recebem aconselhamento pós-teste por enfermeiro.
Obs: onde for possível, o aconselhamento deverá ter a participação do psicólogo e assistente social.</t>
  </si>
  <si>
    <t xml:space="preserve">
Realizar 1º atendimento na UBS para todos os portadores de HIV/aids.</t>
  </si>
  <si>
    <t xml:space="preserve">
100% dos portadores do HIV conhecidos realizam 1ª consulta médica.</t>
  </si>
  <si>
    <t xml:space="preserve">
Realizar acompanhamento complementar ao  atendimento especializado para todos os portadores de Hiv/aids.</t>
  </si>
  <si>
    <t xml:space="preserve">
100% dos portadores do HIV realizam 3 consultas médicas por ano.</t>
  </si>
  <si>
    <t xml:space="preserve">
Realizar coleta de exame de papanicolau em todas as mulheres da área de abrangência, na faixa etária de 25 a 59 anos, a cada 3 anos.</t>
  </si>
  <si>
    <t xml:space="preserve">
Realizar exame clínico das mamas, anualmente, em todas as mulheres na faixa etária de 40 a 49 anos.</t>
  </si>
  <si>
    <t xml:space="preserve">
Realizar consultas para todos os usuários com uso prejudicial ou abuso de substâncias lícitas ou ilícitas</t>
  </si>
  <si>
    <t xml:space="preserve">
Realizar consultas para todos os usuários com patologias graves.</t>
  </si>
  <si>
    <t xml:space="preserve">
Realizar visitas domiciliares para todos os hipertensos cadastrados.</t>
  </si>
  <si>
    <t xml:space="preserve">
Realizar exame dermatoneurológico, por enfermeiro, de todos os contatos dos usuários com hanseníase.</t>
  </si>
  <si>
    <t xml:space="preserve">
100% dos contatos são examinados.</t>
  </si>
  <si>
    <t>doses supervisio-nadas</t>
  </si>
  <si>
    <r>
      <t xml:space="preserve">
33% das mulheres na faixa etária de 25 a 59 anos realizam exame de papanicolau anulamente.
</t>
    </r>
    <r>
      <rPr>
        <sz val="10"/>
        <rFont val="Verdana"/>
        <family val="2"/>
      </rPr>
      <t>Obs:
1. Corresponde ao parâmetro de cobertura total, pelo qual 100% das mulheres nesta faixa etária realizam exame de papanicolau a cada 3 anos (1 exame a cada 3 anos, coletado por médico ou enfermeiro);
2. As gestantes e mulheres com hipertensão/diabete farão a coleta do exame na consulta já programada para estas finalidades. Esta superposição será descontada na planilha de consolidado.</t>
    </r>
  </si>
  <si>
    <r>
      <t xml:space="preserve">
100% das mulheres na faixa etária de 40 a 49 anos realizam exame clínico das mamas, sendo:
- 1 exame clínico por ano, realizado por médico ou enfermeiro.
</t>
    </r>
    <r>
      <rPr>
        <sz val="10"/>
        <rFont val="Verdana"/>
        <family val="2"/>
      </rPr>
      <t xml:space="preserve">
Obs:
1. As mulheres com hipertensão/diabete, ou que têm coleta de papanicolau agendada, farão o exame clínico da mama na consulta já programada para estas finalidades. Esta superposição será descontada na planilha de consolidado.</t>
    </r>
  </si>
  <si>
    <t xml:space="preserve">
Monitorar a realização de mamografia de todas as mulheres com exame clínico positivo.</t>
  </si>
  <si>
    <t xml:space="preserve">
100% das mulheres da faixa etária de 40 a 49 anos com exame clínico positivo realizam mamografia.</t>
  </si>
  <si>
    <t xml:space="preserve">
Monitorar a realização de mamografia de todas as mulheres na faixa etária de 50  a 69 anos.</t>
  </si>
  <si>
    <r>
      <t xml:space="preserve">
100% dos usuário com uso prejudicial ou abuso de substâncias lícitas ou ilícitas, estabilizados, realizam consultas mensais, sendo:
- 6 consultas médicas;
- 6 consultas de enfermagem.
</t>
    </r>
    <r>
      <rPr>
        <sz val="10"/>
        <rFont val="Verdana"/>
        <family val="2"/>
      </rPr>
      <t>Obs: onde for possível, estas consultas deverão ser alternadas também com o atendimento de outros profissionais da saúde mental.</t>
    </r>
  </si>
  <si>
    <r>
      <t xml:space="preserve">
100% dos usuários com patologias graves, estabilizados, realizam consultas mensais, sendo:
- 6 consultas médicas;
- 6 consultas de enfermagem.
</t>
    </r>
    <r>
      <rPr>
        <sz val="10"/>
        <rFont val="Verdana"/>
        <family val="2"/>
      </rPr>
      <t xml:space="preserve">
Obs: onde for possível, estas consultas deverão ser alternadas também com o atendimento de outros profissionais da saúde mental.</t>
    </r>
  </si>
  <si>
    <t>adolescentes de 10 a 11 anos</t>
  </si>
  <si>
    <t>adolescentes de 15 a 16 anos</t>
  </si>
  <si>
    <t>TUTORIAL</t>
  </si>
  <si>
    <r>
      <t xml:space="preserve">ORIENTAÇÕES PARA UTILIZAÇÃO DA PLANILHA
</t>
    </r>
    <r>
      <rPr>
        <b/>
        <sz val="11"/>
        <rFont val="Arial"/>
        <family val="2"/>
      </rPr>
      <t>(INSTRUMENTO SOB VALIDAÇÃO)</t>
    </r>
  </si>
  <si>
    <t>e-mail para esclarecimento de dúvidas: gnas@saude.mg.gov.br</t>
  </si>
  <si>
    <t>Em todas as planilhas a barra de fórmulas permanecerá oculta: se considerar necessária a exibição clicar em Exibir - Barra de fórmulas</t>
  </si>
  <si>
    <t>Os cabeçalhos estão congelado para facilitar a visualização</t>
  </si>
  <si>
    <t xml:space="preserve"> Algumas células foram bloqueadas por se tratarem de fórmulas já fixadas para cálculo de incidência ou prevalência e de programação.</t>
  </si>
  <si>
    <t>As células de fundo lilás são aquelas não bloqueadas, devendo ser preenchidas com os dados de diagnóstico e programação.</t>
  </si>
  <si>
    <t xml:space="preserve">
100% dos usuários com surtos reacionais realizam consultas médicas mensais para tratamento.</t>
  </si>
  <si>
    <t>idosos</t>
  </si>
  <si>
    <t xml:space="preserve"> Alguns cálculos não poderão ser realizados pela ausência de informação. Portanto a célula aparecerá vazia ou com os dizeres "#DIV/0!".</t>
  </si>
  <si>
    <t xml:space="preserve"> A planilha está configurada para arrendondar os valores. Por isso, em algumas situações (como a programação da Hanseníase) o número de usuários pode ser "0" enquando o número de atividades correspondentes é igual a "1".</t>
  </si>
  <si>
    <t>Planilha:  Cadastro</t>
  </si>
  <si>
    <t xml:space="preserve"> Registrar o número de pessoas cadastradas, por sexo e por faixa etária.</t>
  </si>
  <si>
    <t xml:space="preserve"> O número total de pessoas por faixa etária e a porcentagem da população total, assim como o número de usuários por sexo e o número total de usuários  serão calculados automaticamente.</t>
  </si>
  <si>
    <t xml:space="preserve"> Para o quadro "Famílias - Classificação segundo o risco social (IBGE)", registrar o número total de famílias da área de responsabilidade cadastradas; os outros dados serão calculados automaticamente.</t>
  </si>
  <si>
    <t xml:space="preserve"> Para o quadro "Famílias - Classificação segundo o risco social e clínico (SES/MG)", registrar o número de famílias e o número de pessoas correspondentes por grau de risco; o cálculo do total de famílias por grau de risco e da densidade domiciliar serão feitos automaticamente.</t>
  </si>
  <si>
    <t>Planilha: Situação de Saúde</t>
  </si>
  <si>
    <t>Esta planilha contém os dados relativos às patologias ou condições prioritárias, com os parâmetros para incidência/ prevalência ou para as principais ações de saúde, por ciclo de vida.</t>
  </si>
  <si>
    <t>O cálculo da população alvo estimada será feito automaticamente.</t>
  </si>
  <si>
    <t>Registrar o número de usuários da população alvo atendida assim como o número de procedimentos das principais ações de saúde realizadas.</t>
  </si>
  <si>
    <t>Fazer a análise comparativa entre a população alvo estimada e aquela atendida.</t>
  </si>
  <si>
    <t>Planilhas: Programação da Atenção à CRIANÇA, ADOLESCENTE, ADULTO, GESTANTE e IDOSO</t>
  </si>
  <si>
    <t>As planilhas apresentam os principais resultados a serem alcançados na saúde da criança, adolescente, adulto, gestante e idoso, assim como as atividades mínimas que devem ser realizadas para o alcance dos resultados e os parâmetros para realização destas atividades.</t>
  </si>
  <si>
    <t>A "META PROGRAMADA" corresponde à cobertura da população alvo que se pretende atingir no prazo estabelecido. Este valor numérico deve ser definido pela equipe, sendo no mínimo igual à cobertura já realizada, e lançado neste campo específico (%). O cálculo do novo número de usuários beneficiados e das atividades a serem realizadas é feito automaticamente.</t>
  </si>
  <si>
    <t>Adolescente: vacinação: Para cálculo do número de adolescentes na faixa etária de 10-11 anos, dividiu-se o total de adolescentes de 10 a 14 anos por 5. 
Para cálculo do número de adolescentes nafaixa etária de 15-16 anos, dividiu-se o total de adolescentes de 15 a 19 anos por 5.</t>
  </si>
  <si>
    <r>
      <t>Memória de cálculo - Prevenção do câncer da Mulher:</t>
    </r>
    <r>
      <rPr>
        <sz val="10"/>
        <rFont val="Arial"/>
        <family val="0"/>
      </rPr>
      <t xml:space="preserve"> 
25-39 anos:  Número total de mulheres da faixa etária de 25 a 59 anos subtraído do número de hipertensas (20%), de diabéticas (5,2% são diabéticos sem hipertensão e 2,8% são diabéticos com hipertensão) e de gestantes adultas (78,28% das gestantes são adultas e 21,72% é adolescente).
Finalmente, o resultado é dividido por 2 porque metade dos exames é realizado pelo médico e metade pelo enfermeiro.
40-49 anos: Número total de mulheres da faixa etária de 40 a 49 anos subtraído do número de hipertensas e diabéticas (total de 25,2%) e das que fizeram coleta de papanicolau (1/3).
Este número é dividido por 2 porque metade dos exames é realizado pelo médico e metade pelo enfermeiro</t>
    </r>
  </si>
  <si>
    <t>No campo "PADRONIZAÇÃO DO ATENDIMENTO" a equipe deve definir a duração do atendimento padrão (que corresponde a uma consulta médica ou de enfermagem, procedimento técnico de enfermagem e visita domiciliar) a ser realizado por profissional (a planilha calculará o número de atendimentos por hora) e a sua carga horária diária.</t>
  </si>
  <si>
    <t>A planilha também calculará o número total de atendimentos por dia, semana, mês e ano.
Para o cálculo da capacidade potencial de atendimento anual, consideram-se 11 meses de trabalho, deixando 1 mês para férias.</t>
  </si>
  <si>
    <t>A partir definição da duração em minutos das atividades programadas, será calculado o número correspondente de atendimentos padrão, permitindo o cálculo do consolidado.</t>
  </si>
  <si>
    <t>No campo "CONSOLIDADO DO ATENDIMENTO" serão transferidos os dados do quantitativo de atividades programadas por profissional e por ciclo de vida, condição ou patologia, chegando-se a um total de atendimentos por profissional, por ano, mês, semana e dia.</t>
  </si>
  <si>
    <t>A partir disso pode-se fazer a análise comparativa do atendimento diário programado com o atendimento à demanda espontânea, em número de atendimentos e horas ocupadas.</t>
  </si>
  <si>
    <t>Para a análise do "ATENDIMENTO SEMANAL" deve ser definido o número de horas destinas à educação permanente e atividades administrativas. A planilha calculará, então, o tempo (número de horas e porcentual correspondente) destinado ao atendimento programado, atendimento à demanda espontânea, educação permanente e atividades adiministrativas.</t>
  </si>
  <si>
    <t>MENU</t>
  </si>
  <si>
    <r>
      <t xml:space="preserve">PLANILHA DE PROGRAMAÇÃO
</t>
    </r>
    <r>
      <rPr>
        <b/>
        <sz val="12"/>
        <rFont val="Verdana"/>
        <family val="2"/>
      </rPr>
      <t>EQUIPE MÉDICA E DE ENFERMAGEM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</si>
  <si>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</si>
  <si>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</si>
  <si>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</si>
  <si>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</si>
  <si>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</si>
  <si>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</si>
  <si>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</si>
  <si>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</si>
  <si>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</si>
  <si>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</si>
  <si>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UBS:</t>
  </si>
  <si>
    <t>MUNICÍPIO:</t>
  </si>
  <si>
    <t>(CLIQUE EM UMA DAS CÉLULAS ABAIXO PARA NAVEGAR NA PLANILHA)</t>
  </si>
  <si>
    <t>Consolidado / Agenda semanal</t>
  </si>
  <si>
    <t>8. SAÚDE MENTAL (inclui adulto e idoso)</t>
  </si>
  <si>
    <t>consultas complemen-tares de enfermagem</t>
  </si>
  <si>
    <t>META PROGRAMADA</t>
  </si>
  <si>
    <t>crianças
&lt; 1 ano</t>
  </si>
  <si>
    <t>CATEGORIA PROFISSIONAL</t>
  </si>
  <si>
    <t>PROFISSIONAIS</t>
  </si>
  <si>
    <t>NÚMERO DE ATENDIMENTO POTENCIAL</t>
  </si>
  <si>
    <t>ANO</t>
  </si>
  <si>
    <t>MÊS</t>
  </si>
  <si>
    <t>SEMANA</t>
  </si>
  <si>
    <t>DIA</t>
  </si>
  <si>
    <t>CRIANÇA</t>
  </si>
  <si>
    <t>ADOLESCENTE</t>
  </si>
  <si>
    <t>TUBERCULOSE</t>
  </si>
  <si>
    <t>HANSENÍASE</t>
  </si>
  <si>
    <t>HIV/AIDS</t>
  </si>
  <si>
    <t>CÂNCER DA MULHER</t>
  </si>
  <si>
    <t>SAÚDE MENTAL</t>
  </si>
  <si>
    <t>GESTANTE E PUÉPERA</t>
  </si>
  <si>
    <t>IDOSO</t>
  </si>
  <si>
    <t>CONSULTA MÉDICA</t>
  </si>
  <si>
    <t>CONSULTA ENFERMAGEM</t>
  </si>
  <si>
    <t>ATIVIDADE EDUCATIVA - ENFERMEIRO</t>
  </si>
  <si>
    <t>ATIVIDADE EDUCATIVA - MÉDICO</t>
  </si>
  <si>
    <t>Consulta médica</t>
  </si>
  <si>
    <t>atendimento médico</t>
  </si>
  <si>
    <t>Consulta de enfermagem</t>
  </si>
  <si>
    <t>portadores de HIV</t>
  </si>
  <si>
    <t>atendimento de enfermagem</t>
  </si>
  <si>
    <t>CORRESPONDÊNCIA</t>
  </si>
  <si>
    <t>Atividade educativa - enfermeiro</t>
  </si>
  <si>
    <t>Atividade educativa - médico</t>
  </si>
  <si>
    <t>Procedimento técnico de enfermagem</t>
  </si>
  <si>
    <t>atendimento técnico de enfermagem</t>
  </si>
  <si>
    <t>atendimento ACS</t>
  </si>
  <si>
    <t>TOTAL DE ATIVIDADES</t>
  </si>
  <si>
    <t>TOTAL DE ATENDIMENTOS</t>
  </si>
  <si>
    <t>MÉDICO</t>
  </si>
  <si>
    <t>ENFERMEIRO</t>
  </si>
  <si>
    <t>TÉCNICO DE ENFERMAGEM</t>
  </si>
  <si>
    <t>HORAS</t>
  </si>
  <si>
    <t>ATENÇÃO PROGRAMADA</t>
  </si>
  <si>
    <t>DEMANDA ESPONTÂNEA</t>
  </si>
  <si>
    <t>Técnico de Enfermagem</t>
  </si>
  <si>
    <t>PADRONIZAÇÃO DO ATENDIMENTO</t>
  </si>
  <si>
    <t>CONSOLIDADO DO ATENDIMENTO</t>
  </si>
  <si>
    <t>crianças
1 a 4 anos do grupo I de risco</t>
  </si>
  <si>
    <t>crianças
1 a 4 anos do grupo II de risco</t>
  </si>
  <si>
    <t>1% da população geral</t>
  </si>
  <si>
    <t>adolescentes do sexo feminino</t>
  </si>
  <si>
    <t>SAÚDE DO ADULTO</t>
  </si>
  <si>
    <t>SAÚDE DO ADOLESCENTE</t>
  </si>
  <si>
    <t>hipertensos baixo risco</t>
  </si>
  <si>
    <t>hipertensos médio risco</t>
  </si>
  <si>
    <t>hipertensos alto e muito alto risco</t>
  </si>
  <si>
    <t>hipertensos</t>
  </si>
  <si>
    <t>diabético s/ trat. med.</t>
  </si>
  <si>
    <t>diabético ñ us. insulina s/ hipert.</t>
  </si>
  <si>
    <t>diabético usuário de insulina</t>
  </si>
  <si>
    <t>diabéticos</t>
  </si>
  <si>
    <t>sintomáticos respiratórios</t>
  </si>
  <si>
    <t>usuários com tuberculose</t>
  </si>
  <si>
    <t>contatos de pacientes com tuberculose</t>
  </si>
  <si>
    <t>exames de enfermagem</t>
  </si>
  <si>
    <t>sintomáticos dermatológicos</t>
  </si>
  <si>
    <t>usuários com suspeição de hanseníase</t>
  </si>
  <si>
    <t>contatos de pacientes com hanseníase</t>
  </si>
  <si>
    <t>consultas médica</t>
  </si>
  <si>
    <t>usuários com hanseníase</t>
  </si>
  <si>
    <t xml:space="preserve">
Realizar consulta médica para todos os adolescentes de 10 a 14 anos cadastrados</t>
  </si>
  <si>
    <t xml:space="preserve">
100% dos adolescentes de 10 a 14 anos inscritos realizam consultas médicas de acompanhamento, sendo:
- 1 consulta por ano.</t>
  </si>
  <si>
    <t xml:space="preserve">
Promover a realização de grupos educativos voltados para os adolescentes e seus familiares</t>
  </si>
  <si>
    <t xml:space="preserve">
100% dos adolescentes cadastrados participam de grupos educativos, sendo estes:
- realizados em outros equipamentos sociais, principalmente a escola;
- conduzidos pelos profissionais destas unidades, capacitados pela equipe da UBS;
- com participação dos profissionais da UBS em 2 encontros anuais (1  com participação do médico e 1 do enfermeiro).</t>
  </si>
  <si>
    <t xml:space="preserve">
Garantir imunização para todos os adolescentes inscritos</t>
  </si>
  <si>
    <t>SAÚDE DO IDOSO</t>
  </si>
  <si>
    <t>visitas por mês</t>
  </si>
  <si>
    <t xml:space="preserve">
100% dos adolescentes inscritos são imunizados conforme o calendário vacinal vigente:
- 1 dose Anti-Febre Amarela aos 10 anos;
- 1 dose de Anti-Tetânica aos 15 anos.</t>
  </si>
  <si>
    <t xml:space="preserve">
Realizar consultas para todas as adolescentes do sexo feminino que manifestarem interesse de receber métodos anticonceptivos</t>
  </si>
  <si>
    <t xml:space="preserve">
Atividades definidas nas planilhas de programação da criança, adolescente, gestante e idoso.
Vacinação prevista para o adulto:
- anti-tetânica: 1 reforço a cada 10 anos;
- anti Febre Amarela: 1 reforço a cada 10 anos.</t>
  </si>
  <si>
    <t>aplicações de vacina em crianças &lt; 1 ano</t>
  </si>
  <si>
    <t xml:space="preserve">
Realizar o Teste do Pezinho para todos os recém-nascidos da área de responsabilidade da UBS.</t>
  </si>
  <si>
    <t xml:space="preserve">
Atividade definida na planilha de programação da criança.</t>
  </si>
  <si>
    <t xml:space="preserve">
Realizar dose supervisionada mensal para todos os usuários com hanseníase.</t>
  </si>
  <si>
    <r>
      <t xml:space="preserve">
100% dos adolescentes do sexo feminino que manifestarem interesse realizam 1 consulta médica e de 1de enfermagem, com intervalo de 6 meses, para orientação sobre  métodos anticonceptivos.
</t>
    </r>
    <r>
      <rPr>
        <u val="single"/>
        <sz val="10"/>
        <rFont val="Verdana"/>
        <family val="2"/>
      </rPr>
      <t>Obs:</t>
    </r>
    <r>
      <rPr>
        <sz val="10"/>
        <rFont val="Verdana"/>
        <family val="2"/>
      </rPr>
      <t xml:space="preserve">
1. Considerando que a idade média de início da atividade sexual é de 15,5 anos para as meninas, será considerada no cálculo apenas a faixa etária de 15 a 19 anos.
2. As adolescentes grávidas vão receber esta orientação na consulta de pré-natal. Portanto, no cálculo da planilha de consolidado, o número destas adolescentes será subtraído do total de adolescentes do sexo feminino para esta atividade específica.</t>
    </r>
  </si>
  <si>
    <t>superposição de atendimento subtraido da coluna à direita</t>
  </si>
  <si>
    <t xml:space="preserve">
Atividade definida na planilha de programação do adulto (hanseníase).</t>
  </si>
  <si>
    <t xml:space="preserve">
Cada consulta médica ou de enfermagem gera 3 procedimentos de enfermagem.</t>
  </si>
  <si>
    <t xml:space="preserve">
Realizar procedimentos complementares às consultas médicas e de enfermagem.</t>
  </si>
  <si>
    <t xml:space="preserve">
Realizar cadastramento inicial ou sua atualização de todas as famílias da área de responsabilidade da UBS.</t>
  </si>
  <si>
    <t xml:space="preserve">
Cadastramento:
- realizado minimamente 1 vez por ano para atualização;
- duração: 1 hora.</t>
  </si>
  <si>
    <t xml:space="preserve">
Realizar levantamento de problemas de todas as famílias da área de responsabilidade da UBS.</t>
  </si>
  <si>
    <t xml:space="preserve">
Levantamento de problemas:
- realizado minimamente 1 vez por ano para atualização;
- duração: 1 hora.</t>
  </si>
  <si>
    <t xml:space="preserve">
Realizar visitas domiciliares a todas as famílias não risco da área de responsabilidade da UBS.</t>
  </si>
  <si>
    <t xml:space="preserve">
Visitas para acompanhamento familiar:
- no mínimo 1 visita por mês;
- duração: 1 hora.</t>
  </si>
  <si>
    <t xml:space="preserve">
Realizar visitas domiciliares para todas as famílias de risco da área de responsabilidade da UBS.</t>
  </si>
  <si>
    <t xml:space="preserve">
Visitas para acompanhamento familiar:
- Deve ser definido o número total de visita mensais para estas atividades.
- duração: 1 hora.</t>
  </si>
  <si>
    <r>
      <t>N</t>
    </r>
    <r>
      <rPr>
        <b/>
        <vertAlign val="superscript"/>
        <sz val="11"/>
        <rFont val="Verdana"/>
        <family val="2"/>
      </rPr>
      <t>o</t>
    </r>
    <r>
      <rPr>
        <b/>
        <sz val="11"/>
        <rFont val="Verdana"/>
        <family val="2"/>
      </rPr>
      <t xml:space="preserve"> ATENDIMENTOS</t>
    </r>
  </si>
  <si>
    <t>NÚMERO DE ATENDIMEN-TOS POR HORA</t>
  </si>
  <si>
    <t>NÚMERO PROFISSIO-NAIS POR EQUIPE</t>
  </si>
  <si>
    <t>DURAÇÃO DO ATENDIMEN-TO (em minutos)</t>
  </si>
  <si>
    <t>AVALIAÇAO OU EXAME OU CONSULTA COMPLEMEN-TAR DE ENFERMAGEM</t>
  </si>
  <si>
    <t>PROCEDIMEN-TO TÉCNICO DE ENFERMAGEM</t>
  </si>
  <si>
    <t xml:space="preserve">
Realizar atividades educativas específicas para os adolescentes com uso de substâncias lícitas ou ilícitas.</t>
  </si>
  <si>
    <t xml:space="preserve">
100% dos adolescentes com uso de substâncias lícitas ou ilícitas participam de atividades educativas específicas semestralmente, além das atividades educativas já previstas anteriormente, sendo:
- 1 atividade conduzida por médico;
- 1 atividade conduzida por enfermeiro.</t>
  </si>
  <si>
    <t xml:space="preserve">
Realizar consultas de acompanhamento para todos os adolescentes com sobrepeso e obesidade.</t>
  </si>
  <si>
    <t>ACOMPANHAMENTO DA GESTANTE</t>
  </si>
  <si>
    <t>ACOMPANHAMENTO DA PUÉRPERA</t>
  </si>
  <si>
    <t>aplicações de vacina contra influenza</t>
  </si>
  <si>
    <t>aplicações de vacina contra tétano e febre amarela</t>
  </si>
  <si>
    <t>aplicações de vacina pneumococo</t>
  </si>
  <si>
    <t>usuários com patologias graves.</t>
  </si>
  <si>
    <t>ACOMPANHAMENTO DO IDOSOS</t>
  </si>
  <si>
    <t xml:space="preserve">
Realizar Grupos Operativos/ Educativos para todos os hipertensos cadastrados.</t>
  </si>
  <si>
    <t xml:space="preserve">
100% dos hipertensos participam de Grupos Operativos/ Educativos, sendo:
- 2 x/ano para o hipertenso de baixo risco, 1 conduzido pelo médico e 1 conduzido pelo enfermeiro;
- 3 x/ano para o hipertenso de médio risco, 1 conduzido pelo médico e 2 conduzidos pelo enfermeiro;
- 2 x/ano para o hipertenso de alto e muito alto risco, 1 conduzido pelo médico e 1 conduzido pelo enfermeiro;
Grupos:
- 20 participantes;
- duração: 1 hora.</t>
  </si>
  <si>
    <t>Acompanhamento do usuário com HIPERTENSÃO ARTERIAL</t>
  </si>
  <si>
    <t>ACOMPANHAMENTO NO PRIMEIRO ANO DE VIDA</t>
  </si>
  <si>
    <t>OUTRAS AÇÕES DA EQUIPE</t>
  </si>
  <si>
    <t>Programação Criança</t>
  </si>
  <si>
    <t>Programação Adolescente</t>
  </si>
  <si>
    <t>Programação Adulto</t>
  </si>
  <si>
    <t>Programação Gestante</t>
  </si>
  <si>
    <t>Programação Idoso</t>
  </si>
  <si>
    <t>usários com surtos reacionais</t>
  </si>
  <si>
    <t>doses supervisionadas</t>
  </si>
  <si>
    <t>Usuários com suspeição de hanseníase</t>
  </si>
  <si>
    <t>10% dos sintomáticos dermatológicos</t>
  </si>
  <si>
    <t>AGENTE COMUNITÁRIO DE SAÚDE - ACS</t>
  </si>
  <si>
    <t>Sub-total crianças</t>
  </si>
  <si>
    <t>Sub-total adolescentes</t>
  </si>
  <si>
    <t>Sub-total adultos</t>
  </si>
  <si>
    <t>Sub-total idosos</t>
  </si>
  <si>
    <t>PARÂMETROS</t>
  </si>
  <si>
    <t>Visita domiciliar - ACS</t>
  </si>
  <si>
    <t>Na planilha "9 - Consolidado" será definida a carga horária semanal para atividades de educação permanente.</t>
  </si>
  <si>
    <t>Na planilha "9 - Consolidado" será definida a carga horária semanal para atividades administrativas.</t>
  </si>
  <si>
    <t>horas de supervisão e gerência de enfermagem</t>
  </si>
  <si>
    <t>HIPERTENSÃO</t>
  </si>
  <si>
    <t>40%  dos adolescentes (30% de sobrepeso e 10% de obesidade)</t>
  </si>
  <si>
    <t>3% dos adolescentes que fazem uso de substâncias</t>
  </si>
  <si>
    <t>DIABETE</t>
  </si>
  <si>
    <t>TOTAL
(em horas)</t>
  </si>
  <si>
    <t>1 ano</t>
  </si>
  <si>
    <t>ATIVIDADES ADMINISTRATIVAS</t>
  </si>
  <si>
    <t>Usuário com tuberculose pulmonar bacilífera</t>
  </si>
  <si>
    <t>Serviço de referência</t>
  </si>
  <si>
    <t>crianças
1 a 4 anos dos grupos I e II de risco</t>
  </si>
  <si>
    <t>4% dos sintomáticos respiratórios</t>
  </si>
  <si>
    <t>EDUCAÇÃO PERMANENTE</t>
  </si>
  <si>
    <t>ANÁLISE DO ATENDIMENTO</t>
  </si>
  <si>
    <t>ATENDIMENTO DIÁRIO</t>
  </si>
  <si>
    <t>ATENDIMENTO SEMANAL</t>
  </si>
  <si>
    <t>CAPACIDADE POTENCIAL TOTAL</t>
  </si>
  <si>
    <t>ATENDIMENTO PROGRAMADO</t>
  </si>
  <si>
    <t>ATENDIMENTO À DEMANDA ESPONTÂNEA</t>
  </si>
  <si>
    <t>consulta médica</t>
  </si>
  <si>
    <t>adolescentes</t>
  </si>
  <si>
    <t>adolescentes de 10 a 14 anos</t>
  </si>
  <si>
    <t>FAIXA ETÁRIA - ANOS</t>
  </si>
  <si>
    <t>%</t>
  </si>
  <si>
    <t>&lt; 1 mês</t>
  </si>
  <si>
    <t>1 a 11 meses</t>
  </si>
  <si>
    <t>1 a 4 anos</t>
  </si>
  <si>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</si>
  <si>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</si>
  <si>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</si>
  <si>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</si>
  <si>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</si>
  <si>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</si>
  <si>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</si>
  <si>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</si>
  <si>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</si>
  <si>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</si>
  <si>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</si>
  <si>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 xml:space="preserve">60 a 64 anos </t>
  </si>
  <si>
    <t>65 a 69 anos</t>
  </si>
  <si>
    <t>70 a 74 anos</t>
  </si>
  <si>
    <t>75 a 79 anos</t>
  </si>
  <si>
    <t>≥ 80 anos</t>
  </si>
  <si>
    <t>TOTAL</t>
  </si>
  <si>
    <t>PARÂMETRO</t>
  </si>
  <si>
    <t>21,72% do total de gestantes</t>
  </si>
  <si>
    <t>Gravidez na adolescência</t>
  </si>
  <si>
    <t>Uso de substâncias lícitas ou ilícitas</t>
  </si>
  <si>
    <t>Abuso ou uso prejudicial de substâncias lícitas ou ilícitas</t>
  </si>
  <si>
    <t>12% dos adolescentes</t>
  </si>
  <si>
    <t xml:space="preserve">Total de hipertensos </t>
  </si>
  <si>
    <t>Baixo risco</t>
  </si>
  <si>
    <t>40% dos hipertensos</t>
  </si>
  <si>
    <t>Médio risco</t>
  </si>
  <si>
    <t>35% dos hipertensos</t>
  </si>
  <si>
    <t>Alto e muito alto risco</t>
  </si>
  <si>
    <t>25% dos hipertensos</t>
  </si>
  <si>
    <t>Total de diabéticos</t>
  </si>
  <si>
    <t>Sem tratamento medicamentoso</t>
  </si>
  <si>
    <t>20% dos diabéticos</t>
  </si>
  <si>
    <t>Não usuário de insulina sem hipertensão</t>
  </si>
  <si>
    <t>30% dos diabéticos</t>
  </si>
  <si>
    <t>Não usuário de insulina com hipertensão</t>
  </si>
  <si>
    <t>35% dos diabéticos</t>
  </si>
  <si>
    <t>Usuário de insulina</t>
  </si>
  <si>
    <t>15% dos diabéticos</t>
  </si>
  <si>
    <t>Sintomático respiratório</t>
  </si>
  <si>
    <t>Contatos de bacilíferos</t>
  </si>
  <si>
    <t>4 pessoas / usuário com TB</t>
  </si>
  <si>
    <t>Sintomático dermatológico</t>
  </si>
  <si>
    <t>2,5% da população</t>
  </si>
  <si>
    <t>Usuários com hanseníase</t>
  </si>
  <si>
    <t>Surtos reacionais</t>
  </si>
  <si>
    <t>30% dos usuários com hanseníase</t>
  </si>
  <si>
    <t>Contatos</t>
  </si>
  <si>
    <t>4 contatos por usuário com hanseníase</t>
  </si>
  <si>
    <t>Soropositividade</t>
  </si>
  <si>
    <t>0,6% da população 15 a 49 anos</t>
  </si>
  <si>
    <t>Transtornos mentais</t>
  </si>
  <si>
    <t>Uso prejudicial ou abuso de substâncias lícitas ou ilícitas</t>
  </si>
  <si>
    <t>Patologias</t>
  </si>
  <si>
    <t>Patologias graves</t>
  </si>
  <si>
    <t>Exame clínico das mamas positivo</t>
  </si>
  <si>
    <t>85% das gestantes</t>
  </si>
  <si>
    <t>15% das gestantes</t>
  </si>
  <si>
    <t>Gestante</t>
  </si>
  <si>
    <t>Coleta de exame papanicolau</t>
  </si>
  <si>
    <t>Exame clínico das mamas</t>
  </si>
  <si>
    <t>Realização de mamografia</t>
  </si>
  <si>
    <t>20% dos idosos de 60 a 79 anos são considerados de alto risco</t>
  </si>
  <si>
    <t>80% dos idosos de 60 a 79 anos são considerados de risco habitual</t>
  </si>
  <si>
    <t>6% dos que usam substâncias</t>
  </si>
  <si>
    <t>3% dos usuários com patologia</t>
  </si>
  <si>
    <t>100% dos idosos ≥ 80 anos são considerados de alto risco</t>
  </si>
  <si>
    <t>idosos de risco habitual</t>
  </si>
  <si>
    <t>CADASTRO FAMILIAR</t>
  </si>
  <si>
    <t>RISCO (30%)</t>
  </si>
  <si>
    <t>FEMININO</t>
  </si>
  <si>
    <t>MASCULINO</t>
  </si>
  <si>
    <t>CLASSIFICAÇÃO SEGUNDO O RISCO SOCIAL (IBGE)</t>
  </si>
  <si>
    <t>CLASSIFICAÇÃO SEGUNDO O RISCO SOCIAL E CLÍNICO (SES/MG)</t>
  </si>
  <si>
    <t>NÃO RISCO (70%)</t>
  </si>
  <si>
    <t>CLASSIFICAÇÃO FAMILIAR</t>
  </si>
  <si>
    <t>Número de
famílias cadastradas</t>
  </si>
  <si>
    <t>Número de
indivíduos cadastrados</t>
  </si>
  <si>
    <t>Densidade 
familiar média</t>
  </si>
  <si>
    <t>Acompanhamento dos idosos de risco habitual</t>
  </si>
  <si>
    <t>Acompanhamento dos idosos de alto risco ou idoso frágil</t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</si>
  <si>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total de gestantes do ano anterior (número de DNV) + 10%</t>
    </r>
  </si>
  <si>
    <r>
      <t xml:space="preserve">SITUAÇÃO DE SAÚDE
</t>
    </r>
    <r>
      <rPr>
        <b/>
        <sz val="14"/>
        <rFont val="Verdana"/>
        <family val="2"/>
      </rPr>
      <t>DADOS EPIDEMIOLÓGICOS E ASSISTENCIAIS</t>
    </r>
  </si>
  <si>
    <t>PÚBLICO / AÇÃO DE SAÚDE</t>
  </si>
  <si>
    <t>Gestantes de Risco Habitual e de Alto Risco que podem ser acompanhadas na UBS</t>
  </si>
  <si>
    <t>Gestantes de Alto Risco que devem ser encaminhadas ao Serviço de Referência</t>
  </si>
  <si>
    <t>Cadastro e classificação familiar</t>
  </si>
  <si>
    <t>horas por semana</t>
  </si>
  <si>
    <t>consultas médicas e de enfermagem</t>
  </si>
  <si>
    <t>procedimentos</t>
  </si>
  <si>
    <t>famílias</t>
  </si>
  <si>
    <t>famílias não risco</t>
  </si>
  <si>
    <t>famílias de risco</t>
  </si>
  <si>
    <t>POP. ALVO ESTIMADA</t>
  </si>
  <si>
    <t>SEM
RISCO</t>
  </si>
  <si>
    <t>Acompanhamento do usuário com DIABETES</t>
  </si>
  <si>
    <t>Acompanhamento do usuário com TUBERCULOSE</t>
  </si>
  <si>
    <t>Acompanhamento do usuário com HANSENÍASE</t>
  </si>
  <si>
    <t>Acompanhamento do usuário com HIV/AIDS</t>
  </si>
  <si>
    <t>Acompanhamento do usuário em SAÚDE MENTAL</t>
  </si>
  <si>
    <t>Prevenção do CÂNCER DA MULHER</t>
  </si>
  <si>
    <t>SAÚDE DA GESTANTE</t>
  </si>
  <si>
    <t xml:space="preserve">
Realizar consultas de pré-natal, para a gestante de risco habitual.</t>
  </si>
  <si>
    <t xml:space="preserve">
100% das gestantes realizam no mínimo 6 consultas (4 médicas e 2 de enfermagem alternadas), sendo: 
- 1 consulta no 1º trimestre;
- 2 consultas no 2º trimestre;
- 3 consultas no 3º trimestre.</t>
  </si>
  <si>
    <t xml:space="preserve">
Realizar consultas de acompanhamento, complementares àquelas do serviço de referência, para todas as gestantes de alto risco.</t>
  </si>
  <si>
    <t xml:space="preserve">
100% das gestantes de alto risco realizam consultas de pré-natal médicas e de enfermagem alternadas, sendo:
- 4 consultas médicas;
- 2 consultas de enfermagem.</t>
  </si>
  <si>
    <t xml:space="preserve">
Garantir imunização antitetânica.</t>
  </si>
  <si>
    <t xml:space="preserve">
100% das gestantes inscritas imunizadas segundo o protocolo:
- 3 doses de Anti-tetânica (considerar esquema básico completo).</t>
  </si>
  <si>
    <t xml:space="preserve">
Realizar atividades educativas para todas as gestantes</t>
  </si>
  <si>
    <t xml:space="preserve">
100% das gestantes participam de 4 atividades educativas, sendo:
- 2 conduzidas pelo médico;
- 2 conduzidas pelo enfermeiro.
Atividades educativas:
- grupos de 20 participantes;
- duração de 1 hora.</t>
  </si>
  <si>
    <t xml:space="preserve">
Realizar consulta puerperal para toda puérpera, até 40 dias após o parto.</t>
  </si>
  <si>
    <t>RISCO
BAIXO</t>
  </si>
  <si>
    <t>RISCO
MÉDIO</t>
  </si>
  <si>
    <t>RISCO
ALTO</t>
  </si>
  <si>
    <t>1. CRIANÇA</t>
  </si>
  <si>
    <t>Sobrepeso e obesidade</t>
  </si>
  <si>
    <t>100% das mulheres de 40 a 49 anos realizam exame clínico anualmente</t>
  </si>
  <si>
    <t>17% das mulheres de 40 a 49 anos</t>
  </si>
  <si>
    <t>100% das mulheres de 40 a 49 anos com exame clínico de mama positivo realizam mamografia</t>
  </si>
  <si>
    <t>mulheres de 40 a 49 anos</t>
  </si>
  <si>
    <t>usuários  com uso prejudicial ou abuso de substâncias lícitas ou ilícitas</t>
  </si>
  <si>
    <r>
      <t xml:space="preserve">
100% dos adolescentes com sobrepeso e obesidade realizam 3 consultas anuais, sendo:
- 1 consulta médica;
- 2 consultas de enfermagem.
</t>
    </r>
    <r>
      <rPr>
        <u val="single"/>
        <sz val="10"/>
        <rFont val="Verdana"/>
        <family val="2"/>
      </rPr>
      <t>Obs</t>
    </r>
    <r>
      <rPr>
        <sz val="10"/>
        <rFont val="Verdana"/>
        <family val="2"/>
      </rPr>
      <t>: os adolescentes de 10 a 14 anos serão avaliados pelo médico na consulta anual já programada. Portanto, no cálculo da planilha de consolidado, o número destes adolescentes será subtraído do total de adolescentes para esta atividade específica.</t>
    </r>
  </si>
  <si>
    <t>33% das mulheres de 25 a 59 anos realizam coleta a cada 3 anos</t>
  </si>
  <si>
    <t>50% das mulheres na faixa etária de 50 a 69 anos realizam mamografia a cada 2 anos</t>
  </si>
  <si>
    <r>
      <t xml:space="preserve">
50% das mulheres da faixa etária de 50 a 69 anos realizam mamografia anualmente. cada 2 anos.
</t>
    </r>
    <r>
      <rPr>
        <sz val="10"/>
        <rFont val="Verdana"/>
        <family val="2"/>
      </rPr>
      <t>Obs:
1. Corresponde ao parâmetro de cobertura total, pelo qual 100% das mulheres nesta faixa etária realizam mamografia a cada 2 anos;</t>
    </r>
  </si>
  <si>
    <r>
      <t xml:space="preserve">
100% das puérperas realizam consulta puerperal até 40 dias após o parto, sendo:
- 1 consulta de enfermagem na primeira semana de puerpério;
- 1 consulta  médica em torno do 30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dia.</t>
    </r>
  </si>
  <si>
    <r>
      <t xml:space="preserve">
100% dos diabéticos realizam consulta complementar de enfermagem, sendo:
- 2 x/ano para o diabético sem tratamento medicamentoso;
- 3 x/ano para o diabético não usuário de insulina sem hipertensão;
- 2 x/ano para o diabético usuário de insulina.
</t>
    </r>
    <r>
      <rPr>
        <sz val="10"/>
        <rFont val="Verdana"/>
        <family val="2"/>
      </rPr>
      <t xml:space="preserve">
Obs: os diabéticos não usuários de insulina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hipertensão já participam dos grupos operativos programados para o usuário com hipertensão.</t>
    </r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</si>
</sst>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"/>
    <numFmt numFmtId="168" formatCode="0.0000"/>
    <numFmt numFmtId="169" formatCode="0.000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#,##0.0"/>
    <numFmt numFmtId="175" formatCode="0.000000"/>
    <numFmt numFmtId="176" formatCode="_(* #,##0_);_(* \(#,##0\);_(* &quot;-&quot;??_);_(@_)"/>
    <numFmt numFmtId="177" formatCode="_(* #,##0.0_);_(* \(#,##0.0\);_(* &quot;-&quot;??_);_(@_)"/>
    <numFmt numFmtId="178" formatCode="0.00000000"/>
    <numFmt numFmtId="179" formatCode="0.0000000"/>
    <numFmt numFmtId="180" formatCode="0.0000000000"/>
    <numFmt numFmtId="181" formatCode="0.000000000"/>
  </numFmts>
  <fonts count="3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20"/>
      <name val="Verdana"/>
      <family val="2"/>
    </font>
    <font>
      <vertAlign val="superscript"/>
      <sz val="11"/>
      <name val="Verdana"/>
      <family val="2"/>
    </font>
    <font>
      <u val="single"/>
      <sz val="11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4"/>
      <color indexed="9"/>
      <name val="Verdana"/>
      <family val="2"/>
    </font>
    <font>
      <sz val="11"/>
      <color indexed="10"/>
      <name val="Verdana"/>
      <family val="2"/>
    </font>
    <font>
      <u val="single"/>
      <sz val="10"/>
      <name val="Verdana"/>
      <family val="2"/>
    </font>
    <font>
      <b/>
      <vertAlign val="superscript"/>
      <sz val="11"/>
      <name val="Verdana"/>
      <family val="2"/>
    </font>
    <font>
      <b/>
      <sz val="10"/>
      <name val="Arial"/>
      <family val="0"/>
    </font>
    <font>
      <b/>
      <sz val="11"/>
      <name val="Arial"/>
      <family val="2"/>
    </font>
    <font>
      <u val="single"/>
      <sz val="10"/>
      <name val="Arial"/>
      <family val="2"/>
    </font>
    <font>
      <sz val="18"/>
      <name val="Verdana"/>
      <family val="2"/>
    </font>
    <font>
      <sz val="8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1.5"/>
      <name val="Arial"/>
      <family val="0"/>
    </font>
    <font>
      <b/>
      <sz val="8"/>
      <name val="Arial"/>
      <family val="0"/>
    </font>
    <font>
      <sz val="9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31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thin"/>
      <top style="medium">
        <color indexed="9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9"/>
      </left>
      <right style="hair"/>
      <top style="medium">
        <color indexed="9"/>
      </top>
      <bottom style="hair"/>
    </border>
    <border>
      <left style="medium">
        <color indexed="9"/>
      </left>
      <right style="hair"/>
      <top style="hair"/>
      <bottom style="hair"/>
    </border>
    <border>
      <left style="hair"/>
      <right style="thin"/>
      <top style="medium">
        <color indexed="9"/>
      </top>
      <bottom style="hair"/>
    </border>
    <border>
      <left style="hair"/>
      <right style="thin"/>
      <top style="hair"/>
      <bottom style="hair"/>
    </border>
    <border>
      <left style="medium">
        <color indexed="9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medium">
        <color indexed="9"/>
      </left>
      <right style="thin"/>
      <top style="medium">
        <color indexed="9"/>
      </top>
      <bottom style="thin"/>
    </border>
    <border>
      <left style="hair"/>
      <right>
        <color indexed="63"/>
      </right>
      <top style="hair"/>
      <bottom style="thin"/>
    </border>
    <border>
      <left style="medium">
        <color indexed="9"/>
      </left>
      <right style="thin"/>
      <top style="medium">
        <color indexed="9"/>
      </top>
      <bottom style="hair"/>
    </border>
    <border>
      <left style="medium">
        <color indexed="9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medium">
        <color indexed="9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medium">
        <color indexed="9"/>
      </left>
      <right style="thin"/>
      <top>
        <color indexed="63"/>
      </top>
      <bottom style="hair"/>
    </border>
    <border>
      <left style="medium">
        <color indexed="9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medium">
        <color indexed="9"/>
      </top>
      <bottom style="thin"/>
    </border>
    <border>
      <left style="thin"/>
      <right style="medium">
        <color indexed="9"/>
      </right>
      <top>
        <color indexed="63"/>
      </top>
      <bottom style="hair"/>
    </border>
    <border>
      <left style="thin"/>
      <right style="medium">
        <color indexed="9"/>
      </right>
      <top style="hair"/>
      <bottom style="hair"/>
    </border>
    <border>
      <left style="thin"/>
      <right style="medium">
        <color indexed="9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 style="thin"/>
      <top style="medium">
        <color indexed="9"/>
      </top>
      <bottom>
        <color indexed="63"/>
      </bottom>
    </border>
    <border>
      <left style="hair"/>
      <right style="thin"/>
      <top style="medium">
        <color indexed="9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medium">
        <color indexed="9"/>
      </top>
      <bottom style="hair"/>
    </border>
    <border>
      <left style="medium">
        <color indexed="9"/>
      </left>
      <right style="hair"/>
      <top style="medium">
        <color indexed="9"/>
      </top>
      <bottom style="thin"/>
    </border>
    <border>
      <left style="hair"/>
      <right style="medium">
        <color indexed="9"/>
      </right>
      <top>
        <color indexed="63"/>
      </top>
      <bottom style="hair"/>
    </border>
    <border>
      <left style="hair"/>
      <right style="medium">
        <color indexed="9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9"/>
      </top>
      <bottom style="hair"/>
    </border>
    <border>
      <left>
        <color indexed="63"/>
      </left>
      <right style="thin"/>
      <top style="medium">
        <color indexed="9"/>
      </top>
      <bottom style="hair"/>
    </border>
    <border>
      <left style="medium">
        <color indexed="9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>
        <color indexed="63"/>
      </top>
      <bottom style="medium">
        <color indexed="9"/>
      </bottom>
    </border>
    <border>
      <left style="thin"/>
      <right style="thin"/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medium">
        <color indexed="9"/>
      </bottom>
    </border>
    <border>
      <left style="thin"/>
      <right style="thin"/>
      <top style="medium">
        <color indexed="9"/>
      </top>
      <bottom style="thin"/>
    </border>
    <border>
      <left style="medium"/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medium">
        <color indexed="9"/>
      </right>
      <top style="medium"/>
      <bottom style="medium">
        <color indexed="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hair"/>
    </border>
    <border>
      <left style="hair"/>
      <right>
        <color indexed="63"/>
      </right>
      <top style="medium">
        <color indexed="9"/>
      </top>
      <bottom style="hair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>
        <color indexed="9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medium">
        <color indexed="9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medium">
        <color indexed="9"/>
      </top>
      <bottom style="thin"/>
    </border>
    <border>
      <left>
        <color indexed="63"/>
      </left>
      <right style="medium">
        <color indexed="9"/>
      </right>
      <top style="hair"/>
      <bottom>
        <color indexed="63"/>
      </bottom>
    </border>
    <border>
      <left>
        <color indexed="63"/>
      </left>
      <right style="medium">
        <color indexed="9"/>
      </right>
      <top style="hair"/>
      <bottom style="thin"/>
    </border>
    <border>
      <left>
        <color indexed="63"/>
      </left>
      <right style="medium">
        <color indexed="9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medium">
        <color indexed="9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>
        <color indexed="9"/>
      </left>
      <right style="hair"/>
      <top>
        <color indexed="63"/>
      </top>
      <bottom style="hair"/>
    </border>
    <border>
      <left style="hair"/>
      <right style="thin"/>
      <top style="medium">
        <color indexed="9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>
        <color indexed="9"/>
      </left>
      <right style="hair"/>
      <top style="medium">
        <color indexed="9"/>
      </top>
      <bottom>
        <color indexed="63"/>
      </bottom>
    </border>
    <border>
      <left style="medium">
        <color indexed="9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3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 indent="1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right" vertical="center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2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1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1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horizontal="center" vertical="center" wrapText="1"/>
    </xf>
    <xf numFmtId="1" fontId="11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 indent="1"/>
    </xf>
    <xf numFmtId="1" fontId="11" fillId="2" borderId="13" xfId="0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1" fontId="11" fillId="2" borderId="16" xfId="0" applyNumberFormat="1" applyFont="1" applyFill="1" applyBorder="1" applyAlignment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1" fontId="11" fillId="2" borderId="18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>
      <alignment horizontal="left" vertical="top" wrapText="1" indent="1"/>
    </xf>
    <xf numFmtId="9" fontId="11" fillId="4" borderId="14" xfId="20" applyNumberFormat="1" applyFont="1" applyFill="1" applyBorder="1" applyAlignment="1" applyProtection="1">
      <alignment horizontal="center" vertical="center" wrapText="1"/>
      <protection locked="0"/>
    </xf>
    <xf numFmtId="9" fontId="11" fillId="4" borderId="17" xfId="20" applyNumberFormat="1" applyFont="1" applyFill="1" applyBorder="1" applyAlignment="1" applyProtection="1">
      <alignment horizontal="center" vertical="center" wrapText="1"/>
      <protection locked="0"/>
    </xf>
    <xf numFmtId="9" fontId="11" fillId="4" borderId="15" xfId="2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left" vertical="top" wrapText="1" indent="1"/>
    </xf>
    <xf numFmtId="0" fontId="11" fillId="2" borderId="22" xfId="0" applyFont="1" applyFill="1" applyBorder="1" applyAlignment="1">
      <alignment horizontal="left" vertical="top" wrapText="1" inden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" fontId="11" fillId="2" borderId="24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center" wrapText="1"/>
    </xf>
    <xf numFmtId="1" fontId="11" fillId="2" borderId="25" xfId="0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left" vertical="top" wrapText="1" indent="1"/>
    </xf>
    <xf numFmtId="0" fontId="11" fillId="2" borderId="9" xfId="0" applyFont="1" applyFill="1" applyBorder="1" applyAlignment="1">
      <alignment horizontal="center" vertical="center" wrapText="1"/>
    </xf>
    <xf numFmtId="1" fontId="11" fillId="2" borderId="27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left" vertical="center" wrapText="1"/>
    </xf>
    <xf numFmtId="1" fontId="11" fillId="2" borderId="28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 wrapText="1"/>
    </xf>
    <xf numFmtId="1" fontId="11" fillId="2" borderId="29" xfId="0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 inden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1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9" fontId="11" fillId="4" borderId="32" xfId="20" applyNumberFormat="1" applyFont="1" applyFill="1" applyBorder="1" applyAlignment="1" applyProtection="1">
      <alignment horizontal="center" vertical="center" wrapText="1"/>
      <protection locked="0"/>
    </xf>
    <xf numFmtId="9" fontId="11" fillId="4" borderId="33" xfId="20" applyNumberFormat="1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left" vertical="top" wrapText="1" indent="1"/>
    </xf>
    <xf numFmtId="0" fontId="11" fillId="2" borderId="4" xfId="0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 applyProtection="1">
      <alignment horizontal="left" vertical="center" wrapText="1" indent="1"/>
      <protection/>
    </xf>
    <xf numFmtId="0" fontId="12" fillId="2" borderId="0" xfId="0" applyFont="1" applyFill="1" applyBorder="1" applyAlignment="1">
      <alignment vertical="center" wrapText="1"/>
    </xf>
    <xf numFmtId="9" fontId="11" fillId="2" borderId="0" xfId="19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9" fontId="11" fillId="2" borderId="0" xfId="20" applyNumberFormat="1" applyFont="1" applyFill="1" applyBorder="1" applyAlignment="1">
      <alignment horizontal="center" vertical="center" wrapText="1"/>
    </xf>
    <xf numFmtId="9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9" fontId="11" fillId="4" borderId="14" xfId="0" applyNumberFormat="1" applyFont="1" applyFill="1" applyBorder="1" applyAlignment="1" applyProtection="1">
      <alignment horizontal="center" vertical="center" wrapText="1"/>
      <protection locked="0"/>
    </xf>
    <xf numFmtId="9" fontId="11" fillId="4" borderId="17" xfId="0" applyNumberFormat="1" applyFont="1" applyFill="1" applyBorder="1" applyAlignment="1" applyProtection="1">
      <alignment horizontal="center" vertical="center" wrapText="1"/>
      <protection locked="0"/>
    </xf>
    <xf numFmtId="9" fontId="1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vertical="top" wrapText="1"/>
    </xf>
    <xf numFmtId="1" fontId="11" fillId="2" borderId="0" xfId="0" applyNumberFormat="1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 applyProtection="1">
      <alignment horizontal="center" vertical="center" wrapText="1"/>
      <protection/>
    </xf>
    <xf numFmtId="1" fontId="12" fillId="2" borderId="40" xfId="0" applyNumberFormat="1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Alignment="1">
      <alignment horizontal="left" vertical="top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/>
    </xf>
    <xf numFmtId="9" fontId="20" fillId="2" borderId="20" xfId="19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top" wrapText="1" indent="1"/>
    </xf>
    <xf numFmtId="0" fontId="11" fillId="2" borderId="42" xfId="0" applyFont="1" applyFill="1" applyBorder="1" applyAlignment="1">
      <alignment horizontal="left" vertical="top" wrapText="1" indent="1"/>
    </xf>
    <xf numFmtId="9" fontId="20" fillId="2" borderId="37" xfId="19" applyFont="1" applyFill="1" applyBorder="1" applyAlignment="1">
      <alignment horizontal="center" vertical="center" wrapText="1"/>
    </xf>
    <xf numFmtId="1" fontId="11" fillId="2" borderId="20" xfId="0" applyNumberFormat="1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" fontId="11" fillId="2" borderId="43" xfId="0" applyNumberFormat="1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1" fontId="11" fillId="2" borderId="4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top" wrapText="1"/>
    </xf>
    <xf numFmtId="0" fontId="6" fillId="2" borderId="46" xfId="0" applyFont="1" applyFill="1" applyBorder="1" applyAlignment="1">
      <alignment horizontal="left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 indent="1"/>
    </xf>
    <xf numFmtId="0" fontId="6" fillId="2" borderId="48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 wrapText="1" indent="1"/>
    </xf>
    <xf numFmtId="0" fontId="11" fillId="2" borderId="41" xfId="0" applyFont="1" applyFill="1" applyBorder="1" applyAlignment="1">
      <alignment horizontal="left" vertical="top" wrapText="1" indent="1"/>
    </xf>
    <xf numFmtId="0" fontId="11" fillId="2" borderId="20" xfId="0" applyFont="1" applyFill="1" applyBorder="1" applyAlignment="1">
      <alignment horizontal="left" vertical="top" wrapText="1" indent="1"/>
    </xf>
    <xf numFmtId="0" fontId="11" fillId="2" borderId="49" xfId="0" applyFont="1" applyFill="1" applyBorder="1" applyAlignment="1">
      <alignment horizontal="left" vertical="center" wrapText="1" indent="1"/>
    </xf>
    <xf numFmtId="0" fontId="11" fillId="2" borderId="50" xfId="0" applyFont="1" applyFill="1" applyBorder="1" applyAlignment="1">
      <alignment horizontal="left" vertical="center" wrapText="1"/>
    </xf>
    <xf numFmtId="0" fontId="11" fillId="2" borderId="51" xfId="0" applyFont="1" applyFill="1" applyBorder="1" applyAlignment="1">
      <alignment horizontal="left" vertical="top" wrapText="1" indent="1"/>
    </xf>
    <xf numFmtId="0" fontId="11" fillId="2" borderId="47" xfId="0" applyFont="1" applyFill="1" applyBorder="1" applyAlignment="1">
      <alignment horizontal="left" vertical="top" wrapText="1" indent="1"/>
    </xf>
    <xf numFmtId="0" fontId="11" fillId="2" borderId="34" xfId="0" applyFont="1" applyFill="1" applyBorder="1" applyAlignment="1">
      <alignment horizontal="left" vertical="top" wrapText="1" indent="1"/>
    </xf>
    <xf numFmtId="0" fontId="11" fillId="2" borderId="11" xfId="0" applyFont="1" applyFill="1" applyBorder="1" applyAlignment="1">
      <alignment horizontal="left" vertical="top" wrapText="1" indent="1"/>
    </xf>
    <xf numFmtId="0" fontId="11" fillId="2" borderId="36" xfId="0" applyFont="1" applyFill="1" applyBorder="1" applyAlignment="1">
      <alignment horizontal="left" vertical="top" wrapText="1" indent="1"/>
    </xf>
    <xf numFmtId="0" fontId="11" fillId="2" borderId="35" xfId="0" applyFont="1" applyFill="1" applyBorder="1" applyAlignment="1">
      <alignment horizontal="left" vertical="top" wrapText="1" indent="1"/>
    </xf>
    <xf numFmtId="1" fontId="11" fillId="2" borderId="36" xfId="0" applyNumberFormat="1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 horizontal="left" vertical="top" wrapText="1"/>
    </xf>
    <xf numFmtId="0" fontId="11" fillId="2" borderId="23" xfId="0" applyFont="1" applyFill="1" applyBorder="1" applyAlignment="1">
      <alignment horizontal="left" vertical="top" wrapText="1" indent="1"/>
    </xf>
    <xf numFmtId="0" fontId="11" fillId="2" borderId="37" xfId="0" applyFont="1" applyFill="1" applyBorder="1" applyAlignment="1">
      <alignment horizontal="left" vertical="top" wrapText="1" indent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top" wrapText="1" indent="1"/>
    </xf>
    <xf numFmtId="0" fontId="11" fillId="2" borderId="53" xfId="0" applyFont="1" applyFill="1" applyBorder="1" applyAlignment="1">
      <alignment horizontal="center" vertical="center" wrapText="1"/>
    </xf>
    <xf numFmtId="1" fontId="11" fillId="2" borderId="51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left" vertical="top" wrapText="1" indent="1"/>
    </xf>
    <xf numFmtId="0" fontId="11" fillId="2" borderId="54" xfId="0" applyFont="1" applyFill="1" applyBorder="1" applyAlignment="1">
      <alignment horizontal="left" vertical="center" wrapText="1" indent="1"/>
    </xf>
    <xf numFmtId="0" fontId="11" fillId="2" borderId="48" xfId="0" applyFont="1" applyFill="1" applyBorder="1" applyAlignment="1">
      <alignment horizontal="left" vertical="center" wrapText="1" indent="1"/>
    </xf>
    <xf numFmtId="0" fontId="11" fillId="2" borderId="51" xfId="0" applyFont="1" applyFill="1" applyBorder="1" applyAlignment="1">
      <alignment vertical="center" wrapText="1"/>
    </xf>
    <xf numFmtId="0" fontId="6" fillId="2" borderId="51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12" fillId="2" borderId="36" xfId="0" applyFont="1" applyFill="1" applyBorder="1" applyAlignment="1" applyProtection="1">
      <alignment horizontal="center" vertical="center" wrapText="1"/>
      <protection/>
    </xf>
    <xf numFmtId="0" fontId="12" fillId="2" borderId="35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center" vertical="center" wrapText="1"/>
      <protection/>
    </xf>
    <xf numFmtId="0" fontId="11" fillId="2" borderId="4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center" vertical="center" wrapText="1"/>
      <protection/>
    </xf>
    <xf numFmtId="0" fontId="11" fillId="2" borderId="56" xfId="0" applyFont="1" applyFill="1" applyBorder="1" applyAlignment="1" applyProtection="1">
      <alignment horizontal="center" vertical="center" wrapText="1"/>
      <protection/>
    </xf>
    <xf numFmtId="0" fontId="11" fillId="2" borderId="22" xfId="0" applyFont="1" applyFill="1" applyBorder="1" applyAlignment="1" applyProtection="1">
      <alignment horizontal="center" vertical="center" wrapText="1"/>
      <protection/>
    </xf>
    <xf numFmtId="0" fontId="11" fillId="2" borderId="57" xfId="0" applyFont="1" applyFill="1" applyBorder="1" applyAlignment="1" applyProtection="1">
      <alignment horizontal="center" vertical="center" wrapText="1"/>
      <protection/>
    </xf>
    <xf numFmtId="0" fontId="11" fillId="2" borderId="19" xfId="0" applyFont="1" applyFill="1" applyBorder="1" applyAlignment="1" applyProtection="1">
      <alignment horizontal="center" vertical="center" wrapText="1"/>
      <protection/>
    </xf>
    <xf numFmtId="0" fontId="11" fillId="2" borderId="45" xfId="0" applyFont="1" applyFill="1" applyBorder="1" applyAlignment="1" applyProtection="1">
      <alignment horizontal="center" vertical="center" wrapText="1"/>
      <protection/>
    </xf>
    <xf numFmtId="0" fontId="11" fillId="2" borderId="38" xfId="0" applyFont="1" applyFill="1" applyBorder="1" applyAlignment="1" applyProtection="1">
      <alignment horizontal="center" vertical="center" wrapText="1"/>
      <protection/>
    </xf>
    <xf numFmtId="0" fontId="11" fillId="2" borderId="58" xfId="0" applyFont="1" applyFill="1" applyBorder="1" applyAlignment="1" applyProtection="1">
      <alignment horizontal="center" vertical="center" wrapText="1"/>
      <protection/>
    </xf>
    <xf numFmtId="0" fontId="11" fillId="2" borderId="5" xfId="0" applyFont="1" applyFill="1" applyBorder="1" applyAlignment="1" applyProtection="1">
      <alignment horizontal="left" vertical="center" wrapText="1"/>
      <protection/>
    </xf>
    <xf numFmtId="0" fontId="11" fillId="2" borderId="0" xfId="0" applyFont="1" applyFill="1" applyBorder="1" applyAlignment="1" applyProtection="1">
      <alignment horizontal="left" vertical="center" wrapText="1"/>
      <protection/>
    </xf>
    <xf numFmtId="0" fontId="11" fillId="2" borderId="37" xfId="0" applyFont="1" applyFill="1" applyBorder="1" applyAlignment="1" applyProtection="1">
      <alignment horizontal="center" vertical="center" wrapText="1"/>
      <protection/>
    </xf>
    <xf numFmtId="0" fontId="11" fillId="2" borderId="5" xfId="0" applyFont="1" applyFill="1" applyBorder="1" applyAlignment="1" applyProtection="1">
      <alignment horizontal="center" vertical="center" wrapText="1"/>
      <protection/>
    </xf>
    <xf numFmtId="0" fontId="11" fillId="2" borderId="24" xfId="0" applyFont="1" applyFill="1" applyBorder="1" applyAlignment="1" applyProtection="1">
      <alignment horizontal="center" vertical="center" wrapText="1"/>
      <protection/>
    </xf>
    <xf numFmtId="0" fontId="11" fillId="2" borderId="20" xfId="0" applyFont="1" applyFill="1" applyBorder="1" applyAlignment="1" applyProtection="1">
      <alignment horizontal="center" vertical="center" wrapText="1"/>
      <protection/>
    </xf>
    <xf numFmtId="0" fontId="11" fillId="2" borderId="27" xfId="0" applyFont="1" applyFill="1" applyBorder="1" applyAlignment="1" applyProtection="1">
      <alignment horizontal="center" vertical="center" wrapText="1"/>
      <protection/>
    </xf>
    <xf numFmtId="0" fontId="11" fillId="2" borderId="59" xfId="0" applyFont="1" applyFill="1" applyBorder="1" applyAlignment="1" applyProtection="1">
      <alignment horizontal="center" vertical="center" wrapText="1"/>
      <protection/>
    </xf>
    <xf numFmtId="0" fontId="11" fillId="2" borderId="29" xfId="0" applyFont="1" applyFill="1" applyBorder="1" applyAlignment="1" applyProtection="1">
      <alignment horizontal="center" vertical="center" wrapText="1"/>
      <protection/>
    </xf>
    <xf numFmtId="0" fontId="11" fillId="2" borderId="52" xfId="0" applyFont="1" applyFill="1" applyBorder="1" applyAlignment="1" applyProtection="1">
      <alignment horizontal="left" vertical="center" wrapText="1"/>
      <protection/>
    </xf>
    <xf numFmtId="0" fontId="12" fillId="2" borderId="60" xfId="0" applyFont="1" applyFill="1" applyBorder="1" applyAlignment="1" applyProtection="1">
      <alignment vertical="center" wrapText="1"/>
      <protection/>
    </xf>
    <xf numFmtId="0" fontId="11" fillId="2" borderId="60" xfId="0" applyFont="1" applyFill="1" applyBorder="1" applyAlignment="1" applyProtection="1">
      <alignment wrapText="1"/>
      <protection/>
    </xf>
    <xf numFmtId="0" fontId="11" fillId="2" borderId="0" xfId="0" applyFont="1" applyFill="1" applyBorder="1" applyAlignment="1" applyProtection="1">
      <alignment wrapText="1"/>
      <protection/>
    </xf>
    <xf numFmtId="1" fontId="11" fillId="2" borderId="22" xfId="0" applyNumberFormat="1" applyFont="1" applyFill="1" applyBorder="1" applyAlignment="1" applyProtection="1">
      <alignment horizontal="center" vertical="center" wrapText="1"/>
      <protection/>
    </xf>
    <xf numFmtId="1" fontId="11" fillId="2" borderId="19" xfId="0" applyNumberFormat="1" applyFont="1" applyFill="1" applyBorder="1" applyAlignment="1" applyProtection="1">
      <alignment horizontal="center" vertical="center" wrapText="1"/>
      <protection/>
    </xf>
    <xf numFmtId="1" fontId="11" fillId="2" borderId="9" xfId="0" applyNumberFormat="1" applyFont="1" applyFill="1" applyBorder="1" applyAlignment="1" applyProtection="1">
      <alignment horizontal="center" vertical="center" wrapText="1"/>
      <protection/>
    </xf>
    <xf numFmtId="1" fontId="11" fillId="2" borderId="4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left" vertical="center" wrapText="1"/>
      <protection/>
    </xf>
    <xf numFmtId="1" fontId="20" fillId="2" borderId="35" xfId="0" applyNumberFormat="1" applyFont="1" applyFill="1" applyBorder="1" applyAlignment="1" applyProtection="1">
      <alignment horizontal="center" vertical="center" wrapText="1"/>
      <protection/>
    </xf>
    <xf numFmtId="1" fontId="11" fillId="2" borderId="35" xfId="0" applyNumberFormat="1" applyFont="1" applyFill="1" applyBorder="1" applyAlignment="1" applyProtection="1">
      <alignment horizontal="center" vertical="center" wrapText="1"/>
      <protection/>
    </xf>
    <xf numFmtId="0" fontId="11" fillId="2" borderId="61" xfId="0" applyFont="1" applyFill="1" applyBorder="1" applyAlignment="1" applyProtection="1">
      <alignment horizontal="center" vertical="center" wrapText="1"/>
      <protection/>
    </xf>
    <xf numFmtId="1" fontId="11" fillId="2" borderId="62" xfId="0" applyNumberFormat="1" applyFont="1" applyFill="1" applyBorder="1" applyAlignment="1" applyProtection="1">
      <alignment horizontal="center" vertical="center" wrapText="1"/>
      <protection/>
    </xf>
    <xf numFmtId="0" fontId="11" fillId="2" borderId="26" xfId="0" applyFont="1" applyFill="1" applyBorder="1" applyAlignment="1" applyProtection="1">
      <alignment horizontal="center" vertical="center" wrapText="1"/>
      <protection/>
    </xf>
    <xf numFmtId="1" fontId="11" fillId="2" borderId="63" xfId="0" applyNumberFormat="1" applyFont="1" applyFill="1" applyBorder="1" applyAlignment="1" applyProtection="1">
      <alignment horizontal="center" vertical="center" wrapText="1"/>
      <protection/>
    </xf>
    <xf numFmtId="0" fontId="11" fillId="2" borderId="30" xfId="0" applyFont="1" applyFill="1" applyBorder="1" applyAlignment="1" applyProtection="1">
      <alignment horizontal="center" vertical="center" wrapText="1"/>
      <protection/>
    </xf>
    <xf numFmtId="1" fontId="11" fillId="2" borderId="0" xfId="0" applyNumberFormat="1" applyFont="1" applyFill="1" applyBorder="1" applyAlignment="1" applyProtection="1">
      <alignment horizontal="center" vertical="center" wrapText="1"/>
      <protection/>
    </xf>
    <xf numFmtId="0" fontId="12" fillId="2" borderId="4" xfId="0" applyFont="1" applyFill="1" applyBorder="1" applyAlignment="1" applyProtection="1">
      <alignment horizontal="center" vertical="center" wrapText="1"/>
      <protection/>
    </xf>
    <xf numFmtId="0" fontId="12" fillId="2" borderId="11" xfId="0" applyFont="1" applyFill="1" applyBorder="1" applyAlignment="1" applyProtection="1">
      <alignment horizontal="center" vertical="center" wrapText="1"/>
      <protection/>
    </xf>
    <xf numFmtId="1" fontId="11" fillId="2" borderId="11" xfId="0" applyNumberFormat="1" applyFont="1" applyFill="1" applyBorder="1" applyAlignment="1" applyProtection="1">
      <alignment horizontal="center" vertical="center" wrapText="1"/>
      <protection/>
    </xf>
    <xf numFmtId="1" fontId="11" fillId="2" borderId="28" xfId="0" applyNumberFormat="1" applyFont="1" applyFill="1" applyBorder="1" applyAlignment="1" applyProtection="1">
      <alignment horizontal="center" vertical="center" wrapText="1"/>
      <protection/>
    </xf>
    <xf numFmtId="1" fontId="11" fillId="2" borderId="13" xfId="0" applyNumberFormat="1" applyFont="1" applyFill="1" applyBorder="1" applyAlignment="1" applyProtection="1">
      <alignment horizontal="center" vertical="center" wrapText="1"/>
      <protection/>
    </xf>
    <xf numFmtId="1" fontId="11" fillId="2" borderId="34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1" fontId="11" fillId="2" borderId="64" xfId="0" applyNumberFormat="1" applyFont="1" applyFill="1" applyBorder="1" applyAlignment="1" applyProtection="1">
      <alignment horizontal="center" vertical="center" wrapText="1"/>
      <protection/>
    </xf>
    <xf numFmtId="1" fontId="11" fillId="2" borderId="65" xfId="0" applyNumberFormat="1" applyFont="1" applyFill="1" applyBorder="1" applyAlignment="1" applyProtection="1">
      <alignment horizontal="center" vertical="center" wrapText="1"/>
      <protection/>
    </xf>
    <xf numFmtId="1" fontId="11" fillId="2" borderId="66" xfId="0" applyNumberFormat="1" applyFont="1" applyFill="1" applyBorder="1" applyAlignment="1" applyProtection="1">
      <alignment horizontal="center" vertical="center" wrapText="1"/>
      <protection/>
    </xf>
    <xf numFmtId="1" fontId="11" fillId="2" borderId="25" xfId="0" applyNumberFormat="1" applyFont="1" applyFill="1" applyBorder="1" applyAlignment="1" applyProtection="1">
      <alignment horizontal="center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 indent="1"/>
      <protection/>
    </xf>
    <xf numFmtId="0" fontId="11" fillId="2" borderId="26" xfId="0" applyFont="1" applyFill="1" applyBorder="1" applyAlignment="1" applyProtection="1">
      <alignment horizontal="left" vertical="center" wrapText="1" indent="1"/>
      <protection/>
    </xf>
    <xf numFmtId="0" fontId="12" fillId="2" borderId="26" xfId="0" applyFont="1" applyFill="1" applyBorder="1" applyAlignment="1" applyProtection="1">
      <alignment horizontal="left" vertical="center" wrapText="1" indent="1"/>
      <protection/>
    </xf>
    <xf numFmtId="0" fontId="18" fillId="2" borderId="30" xfId="0" applyFont="1" applyFill="1" applyBorder="1" applyAlignment="1" applyProtection="1">
      <alignment horizontal="left" vertical="center" wrapText="1" indent="1"/>
      <protection/>
    </xf>
    <xf numFmtId="0" fontId="12" fillId="2" borderId="19" xfId="0" applyFont="1" applyFill="1" applyBorder="1" applyAlignment="1" applyProtection="1">
      <alignment horizontal="center" vertical="center" wrapText="1"/>
      <protection/>
    </xf>
    <xf numFmtId="0" fontId="12" fillId="2" borderId="22" xfId="0" applyFont="1" applyFill="1" applyBorder="1" applyAlignment="1" applyProtection="1">
      <alignment horizontal="center" vertical="center" wrapText="1"/>
      <protection/>
    </xf>
    <xf numFmtId="0" fontId="11" fillId="2" borderId="34" xfId="0" applyFont="1" applyFill="1" applyBorder="1" applyAlignment="1" applyProtection="1">
      <alignment horizontal="left" vertical="center" wrapText="1" indent="1"/>
      <protection/>
    </xf>
    <xf numFmtId="0" fontId="11" fillId="2" borderId="28" xfId="0" applyFont="1" applyFill="1" applyBorder="1" applyAlignment="1" applyProtection="1">
      <alignment horizontal="left" vertical="center" wrapText="1" indent="1"/>
      <protection/>
    </xf>
    <xf numFmtId="0" fontId="10" fillId="2" borderId="19" xfId="0" applyFont="1" applyFill="1" applyBorder="1" applyAlignment="1" applyProtection="1">
      <alignment horizontal="center" vertical="center" wrapText="1"/>
      <protection/>
    </xf>
    <xf numFmtId="165" fontId="11" fillId="2" borderId="4" xfId="0" applyNumberFormat="1" applyFont="1" applyFill="1" applyBorder="1" applyAlignment="1" applyProtection="1">
      <alignment horizontal="center" vertical="center" wrapText="1"/>
      <protection/>
    </xf>
    <xf numFmtId="1" fontId="11" fillId="2" borderId="23" xfId="0" applyNumberFormat="1" applyFont="1" applyFill="1" applyBorder="1" applyAlignment="1" applyProtection="1">
      <alignment horizontal="center" vertical="center" wrapText="1"/>
      <protection/>
    </xf>
    <xf numFmtId="1" fontId="11" fillId="2" borderId="67" xfId="0" applyNumberFormat="1" applyFont="1" applyFill="1" applyBorder="1" applyAlignment="1">
      <alignment horizontal="center" vertical="center" wrapText="1"/>
    </xf>
    <xf numFmtId="1" fontId="11" fillId="2" borderId="68" xfId="0" applyNumberFormat="1" applyFont="1" applyFill="1" applyBorder="1" applyAlignment="1" applyProtection="1">
      <alignment horizontal="center" vertical="center" wrapText="1"/>
      <protection/>
    </xf>
    <xf numFmtId="1" fontId="11" fillId="2" borderId="44" xfId="0" applyNumberFormat="1" applyFont="1" applyFill="1" applyBorder="1" applyAlignment="1" applyProtection="1">
      <alignment horizontal="center" vertical="center" wrapText="1"/>
      <protection/>
    </xf>
    <xf numFmtId="165" fontId="11" fillId="2" borderId="22" xfId="0" applyNumberFormat="1" applyFont="1" applyFill="1" applyBorder="1" applyAlignment="1" applyProtection="1">
      <alignment horizontal="center" vertical="center" wrapText="1"/>
      <protection/>
    </xf>
    <xf numFmtId="1" fontId="11" fillId="2" borderId="18" xfId="0" applyNumberFormat="1" applyFont="1" applyFill="1" applyBorder="1" applyAlignment="1" applyProtection="1">
      <alignment horizontal="center" vertical="center" wrapText="1"/>
      <protection/>
    </xf>
    <xf numFmtId="165" fontId="11" fillId="2" borderId="19" xfId="0" applyNumberFormat="1" applyFont="1" applyFill="1" applyBorder="1" applyAlignment="1" applyProtection="1">
      <alignment horizontal="center" vertical="center" wrapText="1"/>
      <protection/>
    </xf>
    <xf numFmtId="1" fontId="11" fillId="2" borderId="16" xfId="0" applyNumberFormat="1" applyFont="1" applyFill="1" applyBorder="1" applyAlignment="1" applyProtection="1">
      <alignment horizontal="center" vertical="center" wrapText="1"/>
      <protection/>
    </xf>
    <xf numFmtId="176" fontId="11" fillId="2" borderId="16" xfId="20" applyNumberFormat="1" applyFont="1" applyFill="1" applyBorder="1" applyAlignment="1">
      <alignment horizontal="center" vertical="center" wrapText="1"/>
    </xf>
    <xf numFmtId="1" fontId="11" fillId="5" borderId="19" xfId="0" applyNumberFormat="1" applyFont="1" applyFill="1" applyBorder="1" applyAlignment="1" applyProtection="1">
      <alignment horizontal="center" vertical="center" wrapText="1"/>
      <protection/>
    </xf>
    <xf numFmtId="0" fontId="11" fillId="2" borderId="25" xfId="0" applyFont="1" applyFill="1" applyBorder="1" applyAlignment="1" applyProtection="1">
      <alignment horizontal="left" vertical="center" wrapText="1" indent="1"/>
      <protection/>
    </xf>
    <xf numFmtId="0" fontId="12" fillId="2" borderId="0" xfId="0" applyFont="1" applyFill="1" applyBorder="1" applyAlignment="1" applyProtection="1">
      <alignment vertical="center" wrapText="1"/>
      <protection/>
    </xf>
    <xf numFmtId="0" fontId="11" fillId="2" borderId="69" xfId="0" applyFont="1" applyFill="1" applyBorder="1" applyAlignment="1" applyProtection="1">
      <alignment horizontal="center" vertical="center" wrapText="1"/>
      <protection/>
    </xf>
    <xf numFmtId="0" fontId="11" fillId="2" borderId="28" xfId="0" applyFont="1" applyFill="1" applyBorder="1" applyAlignment="1" applyProtection="1">
      <alignment horizontal="center" vertical="center" wrapText="1"/>
      <protection/>
    </xf>
    <xf numFmtId="0" fontId="11" fillId="2" borderId="25" xfId="0" applyFont="1" applyFill="1" applyBorder="1" applyAlignment="1" applyProtection="1">
      <alignment horizontal="center" vertical="center" wrapText="1"/>
      <protection/>
    </xf>
    <xf numFmtId="0" fontId="11" fillId="2" borderId="34" xfId="0" applyFont="1" applyFill="1" applyBorder="1" applyAlignment="1" applyProtection="1">
      <alignment horizontal="center" vertical="center" wrapText="1"/>
      <protection/>
    </xf>
    <xf numFmtId="0" fontId="11" fillId="2" borderId="35" xfId="0" applyFont="1" applyFill="1" applyBorder="1" applyAlignment="1" applyProtection="1">
      <alignment horizontal="center" vertical="center" wrapText="1"/>
      <protection/>
    </xf>
    <xf numFmtId="0" fontId="11" fillId="2" borderId="51" xfId="0" applyFont="1" applyFill="1" applyBorder="1" applyAlignment="1" applyProtection="1">
      <alignment horizontal="center" vertical="center" wrapText="1"/>
      <protection/>
    </xf>
    <xf numFmtId="1" fontId="11" fillId="2" borderId="69" xfId="0" applyNumberFormat="1" applyFont="1" applyFill="1" applyBorder="1" applyAlignment="1" applyProtection="1">
      <alignment horizontal="center" vertical="center" wrapText="1"/>
      <protection/>
    </xf>
    <xf numFmtId="1" fontId="11" fillId="5" borderId="26" xfId="0" applyNumberFormat="1" applyFont="1" applyFill="1" applyBorder="1" applyAlignment="1" applyProtection="1">
      <alignment horizontal="center" vertical="center" wrapText="1"/>
      <protection/>
    </xf>
    <xf numFmtId="0" fontId="6" fillId="2" borderId="13" xfId="0" applyFont="1" applyFill="1" applyBorder="1" applyAlignment="1" applyProtection="1">
      <alignment horizontal="center" vertical="center" wrapText="1"/>
      <protection/>
    </xf>
    <xf numFmtId="0" fontId="16" fillId="2" borderId="4" xfId="0" applyFont="1" applyFill="1" applyBorder="1" applyAlignment="1" applyProtection="1">
      <alignment horizontal="center" vertical="center" wrapText="1"/>
      <protection/>
    </xf>
    <xf numFmtId="0" fontId="16" fillId="2" borderId="30" xfId="0" applyFont="1" applyFill="1" applyBorder="1" applyAlignment="1" applyProtection="1">
      <alignment horizontal="center" vertical="center" wrapText="1"/>
      <protection/>
    </xf>
    <xf numFmtId="0" fontId="16" fillId="2" borderId="70" xfId="0" applyFont="1" applyFill="1" applyBorder="1" applyAlignment="1" applyProtection="1">
      <alignment horizontal="center" vertical="center" wrapText="1"/>
      <protection/>
    </xf>
    <xf numFmtId="0" fontId="12" fillId="2" borderId="5" xfId="0" applyFont="1" applyFill="1" applyBorder="1" applyAlignment="1" applyProtection="1">
      <alignment horizontal="center" vertical="center" wrapText="1"/>
      <protection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vertical="center" wrapText="1"/>
      <protection/>
    </xf>
    <xf numFmtId="0" fontId="11" fillId="2" borderId="11" xfId="0" applyFont="1" applyFill="1" applyBorder="1" applyAlignment="1" applyProtection="1">
      <alignment horizontal="center" vertical="center" wrapText="1"/>
      <protection/>
    </xf>
    <xf numFmtId="0" fontId="11" fillId="2" borderId="19" xfId="0" applyFont="1" applyFill="1" applyBorder="1" applyAlignment="1" applyProtection="1">
      <alignment horizontal="left" vertical="top" wrapText="1" indent="1"/>
      <protection/>
    </xf>
    <xf numFmtId="0" fontId="11" fillId="2" borderId="26" xfId="0" applyFont="1" applyFill="1" applyBorder="1" applyAlignment="1" applyProtection="1">
      <alignment horizontal="left" vertical="top" wrapText="1" indent="1"/>
      <protection/>
    </xf>
    <xf numFmtId="0" fontId="11" fillId="2" borderId="21" xfId="0" applyFont="1" applyFill="1" applyBorder="1" applyAlignment="1" applyProtection="1">
      <alignment horizontal="left" vertical="top" wrapText="1" indent="1"/>
      <protection/>
    </xf>
    <xf numFmtId="0" fontId="11" fillId="2" borderId="22" xfId="0" applyFont="1" applyFill="1" applyBorder="1" applyAlignment="1" applyProtection="1">
      <alignment horizontal="left" vertical="top" wrapText="1" indent="1"/>
      <protection/>
    </xf>
    <xf numFmtId="0" fontId="11" fillId="2" borderId="30" xfId="0" applyFont="1" applyFill="1" applyBorder="1" applyAlignment="1" applyProtection="1">
      <alignment horizontal="left" vertical="center" wrapText="1" indent="1"/>
      <protection/>
    </xf>
    <xf numFmtId="0" fontId="12" fillId="2" borderId="55" xfId="0" applyFont="1" applyFill="1" applyBorder="1" applyAlignment="1" applyProtection="1">
      <alignment horizontal="center" vertical="center" wrapText="1"/>
      <protection/>
    </xf>
    <xf numFmtId="0" fontId="12" fillId="2" borderId="31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/>
      <protection/>
    </xf>
    <xf numFmtId="0" fontId="7" fillId="2" borderId="35" xfId="0" applyFont="1" applyFill="1" applyBorder="1" applyAlignment="1" applyProtection="1">
      <alignment horizontal="center" vertical="center" wrapText="1"/>
      <protection/>
    </xf>
    <xf numFmtId="0" fontId="8" fillId="2" borderId="71" xfId="0" applyFont="1" applyFill="1" applyBorder="1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horizontal="left" vertical="center" wrapText="1" indent="1"/>
      <protection/>
    </xf>
    <xf numFmtId="0" fontId="2" fillId="2" borderId="0" xfId="0" applyFont="1" applyFill="1" applyBorder="1" applyAlignment="1" applyProtection="1">
      <alignment horizontal="left" vertical="center" wrapText="1" indent="1"/>
      <protection/>
    </xf>
    <xf numFmtId="0" fontId="0" fillId="2" borderId="0" xfId="0" applyFont="1" applyFill="1" applyBorder="1" applyAlignment="1" applyProtection="1">
      <alignment horizontal="left" vertical="center" wrapText="1" indent="1"/>
      <protection/>
    </xf>
    <xf numFmtId="0" fontId="25" fillId="2" borderId="0" xfId="0" applyFont="1" applyFill="1" applyBorder="1" applyAlignment="1" applyProtection="1">
      <alignment horizontal="left" vertical="center" wrapText="1" indent="1"/>
      <protection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wrapText="1"/>
      <protection/>
    </xf>
    <xf numFmtId="0" fontId="12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wrapText="1"/>
      <protection/>
    </xf>
    <xf numFmtId="0" fontId="11" fillId="2" borderId="0" xfId="0" applyFont="1" applyFill="1" applyBorder="1" applyAlignment="1" applyProtection="1">
      <alignment/>
      <protection/>
    </xf>
    <xf numFmtId="0" fontId="12" fillId="2" borderId="72" xfId="0" applyFont="1" applyFill="1" applyBorder="1" applyAlignment="1" applyProtection="1">
      <alignment horizontal="center" vertical="center" wrapText="1"/>
      <protection/>
    </xf>
    <xf numFmtId="1" fontId="11" fillId="2" borderId="21" xfId="0" applyNumberFormat="1" applyFont="1" applyFill="1" applyBorder="1" applyAlignment="1" applyProtection="1">
      <alignment horizontal="center" vertical="center" wrapText="1"/>
      <protection/>
    </xf>
    <xf numFmtId="2" fontId="11" fillId="2" borderId="23" xfId="0" applyNumberFormat="1" applyFont="1" applyFill="1" applyBorder="1" applyAlignment="1" applyProtection="1">
      <alignment horizontal="center" vertical="center"/>
      <protection/>
    </xf>
    <xf numFmtId="1" fontId="11" fillId="2" borderId="26" xfId="0" applyNumberFormat="1" applyFont="1" applyFill="1" applyBorder="1" applyAlignment="1" applyProtection="1">
      <alignment horizontal="center" vertical="center" wrapText="1"/>
      <protection/>
    </xf>
    <xf numFmtId="2" fontId="11" fillId="2" borderId="9" xfId="0" applyNumberFormat="1" applyFont="1" applyFill="1" applyBorder="1" applyAlignment="1" applyProtection="1">
      <alignment horizontal="center" vertical="center"/>
      <protection/>
    </xf>
    <xf numFmtId="1" fontId="12" fillId="2" borderId="4" xfId="0" applyNumberFormat="1" applyFont="1" applyFill="1" applyBorder="1" applyAlignment="1" applyProtection="1">
      <alignment horizontal="center" vertical="center" wrapText="1"/>
      <protection/>
    </xf>
    <xf numFmtId="2" fontId="12" fillId="2" borderId="11" xfId="0" applyNumberFormat="1" applyFont="1" applyFill="1" applyBorder="1" applyAlignment="1" applyProtection="1">
      <alignment horizontal="center" vertical="center"/>
      <protection/>
    </xf>
    <xf numFmtId="0" fontId="12" fillId="2" borderId="5" xfId="0" applyFont="1" applyFill="1" applyBorder="1" applyAlignment="1" applyProtection="1">
      <alignment horizontal="center" vertical="center" textRotation="90"/>
      <protection/>
    </xf>
    <xf numFmtId="1" fontId="12" fillId="2" borderId="5" xfId="0" applyNumberFormat="1" applyFont="1" applyFill="1" applyBorder="1" applyAlignment="1" applyProtection="1">
      <alignment horizontal="center" vertical="center" wrapText="1"/>
      <protection/>
    </xf>
    <xf numFmtId="2" fontId="12" fillId="2" borderId="5" xfId="0" applyNumberFormat="1" applyFont="1" applyFill="1" applyBorder="1" applyAlignment="1" applyProtection="1">
      <alignment horizontal="center" vertical="center"/>
      <protection/>
    </xf>
    <xf numFmtId="0" fontId="12" fillId="2" borderId="5" xfId="0" applyFont="1" applyFill="1" applyBorder="1" applyAlignment="1" applyProtection="1">
      <alignment horizontal="center" vertical="center" textRotation="90" wrapText="1"/>
      <protection/>
    </xf>
    <xf numFmtId="1" fontId="11" fillId="2" borderId="0" xfId="0" applyNumberFormat="1" applyFont="1" applyFill="1" applyAlignment="1" applyProtection="1">
      <alignment/>
      <protection/>
    </xf>
    <xf numFmtId="1" fontId="11" fillId="2" borderId="0" xfId="0" applyNumberFormat="1" applyFont="1" applyFill="1" applyAlignment="1" applyProtection="1">
      <alignment wrapText="1"/>
      <protection/>
    </xf>
    <xf numFmtId="1" fontId="11" fillId="2" borderId="0" xfId="0" applyNumberFormat="1" applyFont="1" applyFill="1" applyBorder="1" applyAlignment="1" applyProtection="1">
      <alignment/>
      <protection/>
    </xf>
    <xf numFmtId="1" fontId="11" fillId="2" borderId="0" xfId="0" applyNumberFormat="1" applyFont="1" applyFill="1" applyBorder="1" applyAlignment="1" applyProtection="1">
      <alignment wrapText="1"/>
      <protection/>
    </xf>
    <xf numFmtId="1" fontId="12" fillId="2" borderId="0" xfId="0" applyNumberFormat="1" applyFont="1" applyFill="1" applyBorder="1" applyAlignment="1" applyProtection="1">
      <alignment horizontal="center" vertical="center" wrapText="1"/>
      <protection/>
    </xf>
    <xf numFmtId="2" fontId="12" fillId="2" borderId="0" xfId="0" applyNumberFormat="1" applyFont="1" applyFill="1" applyBorder="1" applyAlignment="1" applyProtection="1">
      <alignment horizontal="center" vertical="center"/>
      <protection/>
    </xf>
    <xf numFmtId="3" fontId="12" fillId="2" borderId="40" xfId="0" applyNumberFormat="1" applyFont="1" applyFill="1" applyBorder="1" applyAlignment="1" applyProtection="1">
      <alignment horizontal="center" vertical="center" wrapText="1"/>
      <protection/>
    </xf>
    <xf numFmtId="3" fontId="12" fillId="2" borderId="31" xfId="0" applyNumberFormat="1" applyFont="1" applyFill="1" applyBorder="1" applyAlignment="1" applyProtection="1">
      <alignment horizontal="center" vertical="center" wrapText="1"/>
      <protection/>
    </xf>
    <xf numFmtId="3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 applyProtection="1">
      <alignment horizontal="center" wrapText="1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center" wrapText="1"/>
      <protection/>
    </xf>
    <xf numFmtId="3" fontId="11" fillId="2" borderId="22" xfId="0" applyNumberFormat="1" applyFont="1" applyFill="1" applyBorder="1" applyAlignment="1" applyProtection="1">
      <alignment horizontal="center" vertical="center" wrapText="1"/>
      <protection/>
    </xf>
    <xf numFmtId="174" fontId="11" fillId="2" borderId="4" xfId="0" applyNumberFormat="1" applyFont="1" applyFill="1" applyBorder="1" applyAlignment="1" applyProtection="1">
      <alignment horizontal="center" vertical="center" wrapText="1"/>
      <protection/>
    </xf>
    <xf numFmtId="0" fontId="11" fillId="2" borderId="36" xfId="0" applyFont="1" applyFill="1" applyBorder="1" applyAlignment="1" applyProtection="1">
      <alignment horizontal="center" vertical="center" wrapText="1"/>
      <protection/>
    </xf>
    <xf numFmtId="174" fontId="11" fillId="2" borderId="36" xfId="0" applyNumberFormat="1" applyFont="1" applyFill="1" applyBorder="1" applyAlignment="1" applyProtection="1">
      <alignment horizontal="center" vertical="center" wrapText="1"/>
      <protection/>
    </xf>
    <xf numFmtId="0" fontId="11" fillId="2" borderId="73" xfId="0" applyFont="1" applyFill="1" applyBorder="1" applyAlignment="1" applyProtection="1">
      <alignment horizontal="center" vertical="center"/>
      <protection/>
    </xf>
    <xf numFmtId="0" fontId="11" fillId="2" borderId="65" xfId="0" applyFont="1" applyFill="1" applyBorder="1" applyAlignment="1" applyProtection="1">
      <alignment horizontal="center" vertical="center"/>
      <protection/>
    </xf>
    <xf numFmtId="165" fontId="11" fillId="2" borderId="40" xfId="0" applyNumberFormat="1" applyFont="1" applyFill="1" applyBorder="1" applyAlignment="1" applyProtection="1">
      <alignment horizontal="center" vertical="center"/>
      <protection/>
    </xf>
    <xf numFmtId="165" fontId="11" fillId="2" borderId="11" xfId="0" applyNumberFormat="1" applyFont="1" applyFill="1" applyBorder="1" applyAlignment="1" applyProtection="1">
      <alignment horizontal="center" vertical="center"/>
      <protection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74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3" fontId="11" fillId="4" borderId="10" xfId="0" applyNumberFormat="1" applyFont="1" applyFill="1" applyBorder="1" applyAlignment="1" applyProtection="1">
      <alignment horizontal="center" vertical="center"/>
      <protection locked="0"/>
    </xf>
    <xf numFmtId="3" fontId="11" fillId="4" borderId="4" xfId="0" applyNumberFormat="1" applyFont="1" applyFill="1" applyBorder="1" applyAlignment="1" applyProtection="1">
      <alignment horizontal="center" vertical="center"/>
      <protection locked="0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 wrapText="1" indent="1"/>
      <protection/>
    </xf>
    <xf numFmtId="0" fontId="11" fillId="2" borderId="0" xfId="0" applyFont="1" applyFill="1" applyBorder="1" applyAlignment="1" applyProtection="1">
      <alignment horizontal="center" wrapText="1"/>
      <protection/>
    </xf>
    <xf numFmtId="0" fontId="12" fillId="2" borderId="75" xfId="0" applyFont="1" applyFill="1" applyBorder="1" applyAlignment="1" applyProtection="1">
      <alignment horizontal="left" vertical="center" wrapText="1" indent="1"/>
      <protection/>
    </xf>
    <xf numFmtId="0" fontId="12" fillId="2" borderId="5" xfId="0" applyFont="1" applyFill="1" applyBorder="1" applyAlignment="1" applyProtection="1">
      <alignment horizontal="left" vertical="center" wrapText="1" indent="1"/>
      <protection/>
    </xf>
    <xf numFmtId="0" fontId="11" fillId="2" borderId="22" xfId="0" applyFont="1" applyFill="1" applyBorder="1" applyAlignment="1" applyProtection="1">
      <alignment horizontal="left" vertical="center" wrapText="1" indent="1"/>
      <protection/>
    </xf>
    <xf numFmtId="164" fontId="11" fillId="2" borderId="22" xfId="0" applyNumberFormat="1" applyFont="1" applyFill="1" applyBorder="1" applyAlignment="1" applyProtection="1">
      <alignment horizontal="center" vertical="center" wrapText="1"/>
      <protection/>
    </xf>
    <xf numFmtId="1" fontId="11" fillId="2" borderId="76" xfId="0" applyNumberFormat="1" applyFont="1" applyFill="1" applyBorder="1" applyAlignment="1" applyProtection="1">
      <alignment horizontal="center" vertical="center" wrapText="1"/>
      <protection/>
    </xf>
    <xf numFmtId="9" fontId="11" fillId="2" borderId="64" xfId="19" applyFont="1" applyFill="1" applyBorder="1" applyAlignment="1" applyProtection="1">
      <alignment horizontal="center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 indent="1"/>
      <protection/>
    </xf>
    <xf numFmtId="164" fontId="11" fillId="2" borderId="19" xfId="0" applyNumberFormat="1" applyFont="1" applyFill="1" applyBorder="1" applyAlignment="1" applyProtection="1">
      <alignment horizontal="center" vertical="center" wrapText="1"/>
      <protection/>
    </xf>
    <xf numFmtId="1" fontId="11" fillId="2" borderId="77" xfId="0" applyNumberFormat="1" applyFont="1" applyFill="1" applyBorder="1" applyAlignment="1" applyProtection="1">
      <alignment horizontal="center" vertical="center" wrapText="1"/>
      <protection/>
    </xf>
    <xf numFmtId="0" fontId="11" fillId="2" borderId="50" xfId="0" applyFont="1" applyFill="1" applyBorder="1" applyAlignment="1" applyProtection="1">
      <alignment horizontal="left" vertical="center" wrapText="1" indent="1"/>
      <protection/>
    </xf>
    <xf numFmtId="9" fontId="11" fillId="2" borderId="66" xfId="19" applyFont="1" applyFill="1" applyBorder="1" applyAlignment="1" applyProtection="1">
      <alignment horizontal="center" vertical="center" wrapText="1"/>
      <protection/>
    </xf>
    <xf numFmtId="0" fontId="11" fillId="2" borderId="5" xfId="0" applyFont="1" applyFill="1" applyBorder="1" applyAlignment="1" applyProtection="1">
      <alignment horizontal="left" vertical="center" wrapText="1" indent="1"/>
      <protection/>
    </xf>
    <xf numFmtId="164" fontId="11" fillId="2" borderId="5" xfId="0" applyNumberFormat="1" applyFont="1" applyFill="1" applyBorder="1" applyAlignment="1" applyProtection="1">
      <alignment horizontal="center" vertical="center" wrapText="1"/>
      <protection/>
    </xf>
    <xf numFmtId="1" fontId="11" fillId="2" borderId="5" xfId="0" applyNumberFormat="1" applyFont="1" applyFill="1" applyBorder="1" applyAlignment="1" applyProtection="1">
      <alignment horizontal="center" vertical="center" wrapText="1"/>
      <protection/>
    </xf>
    <xf numFmtId="9" fontId="11" fillId="2" borderId="36" xfId="19" applyFont="1" applyFill="1" applyBorder="1" applyAlignment="1" applyProtection="1">
      <alignment horizontal="center" vertical="center" wrapText="1"/>
      <protection/>
    </xf>
    <xf numFmtId="9" fontId="11" fillId="2" borderId="5" xfId="19" applyFont="1" applyFill="1" applyBorder="1" applyAlignment="1" applyProtection="1">
      <alignment vertical="center" wrapText="1"/>
      <protection/>
    </xf>
    <xf numFmtId="10" fontId="11" fillId="2" borderId="22" xfId="0" applyNumberFormat="1" applyFont="1" applyFill="1" applyBorder="1" applyAlignment="1" applyProtection="1">
      <alignment horizontal="center" vertical="center" wrapText="1"/>
      <protection/>
    </xf>
    <xf numFmtId="9" fontId="11" fillId="2" borderId="65" xfId="19" applyFont="1" applyFill="1" applyBorder="1" applyAlignment="1" applyProtection="1">
      <alignment horizontal="center" vertical="center" wrapText="1"/>
      <protection/>
    </xf>
    <xf numFmtId="0" fontId="11" fillId="2" borderId="4" xfId="0" applyFont="1" applyFill="1" applyBorder="1" applyAlignment="1" applyProtection="1">
      <alignment horizontal="left" vertical="center" wrapText="1" indent="1"/>
      <protection/>
    </xf>
    <xf numFmtId="164" fontId="11" fillId="2" borderId="4" xfId="0" applyNumberFormat="1" applyFont="1" applyFill="1" applyBorder="1" applyAlignment="1" applyProtection="1">
      <alignment horizontal="center" vertical="center" wrapText="1"/>
      <protection/>
    </xf>
    <xf numFmtId="9" fontId="11" fillId="2" borderId="5" xfId="19" applyFont="1" applyFill="1" applyBorder="1" applyAlignment="1" applyProtection="1">
      <alignment horizontal="center" vertical="center" wrapText="1"/>
      <protection/>
    </xf>
    <xf numFmtId="3" fontId="11" fillId="2" borderId="18" xfId="0" applyNumberFormat="1" applyFont="1" applyFill="1" applyBorder="1" applyAlignment="1" applyProtection="1">
      <alignment horizontal="center" vertical="center" wrapText="1"/>
      <protection/>
    </xf>
    <xf numFmtId="3" fontId="11" fillId="2" borderId="16" xfId="0" applyNumberFormat="1" applyFont="1" applyFill="1" applyBorder="1" applyAlignment="1" applyProtection="1">
      <alignment horizontal="center" vertical="center" wrapText="1"/>
      <protection/>
    </xf>
    <xf numFmtId="166" fontId="11" fillId="2" borderId="19" xfId="0" applyNumberFormat="1" applyFont="1" applyFill="1" applyBorder="1" applyAlignment="1" applyProtection="1">
      <alignment horizontal="center" vertical="center" wrapText="1"/>
      <protection/>
    </xf>
    <xf numFmtId="165" fontId="11" fillId="2" borderId="16" xfId="0" applyNumberFormat="1" applyFont="1" applyFill="1" applyBorder="1" applyAlignment="1" applyProtection="1">
      <alignment horizontal="center" vertical="center" wrapText="1"/>
      <protection/>
    </xf>
    <xf numFmtId="0" fontId="11" fillId="2" borderId="46" xfId="0" applyFont="1" applyFill="1" applyBorder="1" applyAlignment="1" applyProtection="1">
      <alignment horizontal="left" vertical="center" wrapText="1" indent="1"/>
      <protection/>
    </xf>
    <xf numFmtId="0" fontId="11" fillId="2" borderId="40" xfId="0" applyFont="1" applyFill="1" applyBorder="1" applyAlignment="1" applyProtection="1">
      <alignment horizontal="left" vertical="center" wrapText="1" indent="1"/>
      <protection/>
    </xf>
    <xf numFmtId="10" fontId="11" fillId="2" borderId="40" xfId="0" applyNumberFormat="1" applyFont="1" applyFill="1" applyBorder="1" applyAlignment="1" applyProtection="1">
      <alignment horizontal="center" vertical="center" wrapText="1"/>
      <protection/>
    </xf>
    <xf numFmtId="1" fontId="11" fillId="2" borderId="78" xfId="0" applyNumberFormat="1" applyFont="1" applyFill="1" applyBorder="1" applyAlignment="1" applyProtection="1">
      <alignment horizontal="center" vertical="center" wrapText="1"/>
      <protection/>
    </xf>
    <xf numFmtId="9" fontId="11" fillId="2" borderId="79" xfId="19" applyFont="1" applyFill="1" applyBorder="1" applyAlignment="1" applyProtection="1">
      <alignment horizontal="center" vertical="center" wrapText="1"/>
      <protection/>
    </xf>
    <xf numFmtId="10" fontId="11" fillId="2" borderId="5" xfId="0" applyNumberFormat="1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17" fillId="2" borderId="20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left" vertical="top" wrapText="1"/>
      <protection/>
    </xf>
    <xf numFmtId="0" fontId="18" fillId="2" borderId="11" xfId="0" applyFont="1" applyFill="1" applyBorder="1" applyAlignment="1" applyProtection="1">
      <alignment horizontal="center" vertical="center" wrapText="1"/>
      <protection/>
    </xf>
    <xf numFmtId="0" fontId="12" fillId="2" borderId="20" xfId="0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 applyProtection="1">
      <alignment horizontal="center" vertical="center" wrapText="1"/>
      <protection/>
    </xf>
    <xf numFmtId="0" fontId="12" fillId="4" borderId="11" xfId="0" applyFont="1" applyFill="1" applyBorder="1" applyAlignment="1" applyProtection="1">
      <alignment horizontal="center" vertical="center" wrapText="1"/>
      <protection/>
    </xf>
    <xf numFmtId="0" fontId="11" fillId="2" borderId="23" xfId="0" applyFont="1" applyFill="1" applyBorder="1" applyAlignment="1" applyProtection="1">
      <alignment horizontal="center" vertical="center" wrapText="1"/>
      <protection/>
    </xf>
    <xf numFmtId="1" fontId="11" fillId="2" borderId="24" xfId="0" applyNumberFormat="1" applyFont="1" applyFill="1" applyBorder="1" applyAlignment="1" applyProtection="1">
      <alignment horizontal="center" vertical="center" wrapText="1"/>
      <protection/>
    </xf>
    <xf numFmtId="0" fontId="6" fillId="2" borderId="21" xfId="0" applyFont="1" applyFill="1" applyBorder="1" applyAlignment="1" applyProtection="1">
      <alignment horizontal="left" vertical="center" wrapText="1"/>
      <protection/>
    </xf>
    <xf numFmtId="0" fontId="6" fillId="2" borderId="25" xfId="0" applyFont="1" applyFill="1" applyBorder="1" applyAlignment="1" applyProtection="1">
      <alignment horizontal="left" vertical="center" wrapText="1"/>
      <protection/>
    </xf>
    <xf numFmtId="0" fontId="11" fillId="2" borderId="9" xfId="0" applyFont="1" applyFill="1" applyBorder="1" applyAlignment="1" applyProtection="1">
      <alignment horizontal="center" vertical="center" wrapText="1"/>
      <protection/>
    </xf>
    <xf numFmtId="1" fontId="11" fillId="2" borderId="27" xfId="0" applyNumberFormat="1" applyFont="1" applyFill="1" applyBorder="1" applyAlignment="1" applyProtection="1">
      <alignment horizontal="center" vertical="center" wrapText="1"/>
      <protection/>
    </xf>
    <xf numFmtId="0" fontId="6" fillId="2" borderId="26" xfId="0" applyFont="1" applyFill="1" applyBorder="1" applyAlignment="1" applyProtection="1">
      <alignment horizontal="left" vertical="center" wrapText="1"/>
      <protection/>
    </xf>
    <xf numFmtId="0" fontId="6" fillId="2" borderId="28" xfId="0" applyFont="1" applyFill="1" applyBorder="1" applyAlignment="1" applyProtection="1">
      <alignment horizontal="left" vertical="center" wrapText="1"/>
      <protection/>
    </xf>
    <xf numFmtId="1" fontId="11" fillId="2" borderId="29" xfId="0" applyNumberFormat="1" applyFont="1" applyFill="1" applyBorder="1" applyAlignment="1" applyProtection="1">
      <alignment horizontal="center" vertical="center" wrapText="1"/>
      <protection/>
    </xf>
    <xf numFmtId="0" fontId="6" fillId="2" borderId="30" xfId="0" applyFont="1" applyFill="1" applyBorder="1" applyAlignment="1" applyProtection="1">
      <alignment horizontal="left" vertical="center" wrapText="1"/>
      <protection/>
    </xf>
    <xf numFmtId="0" fontId="6" fillId="2" borderId="34" xfId="0" applyFont="1" applyFill="1" applyBorder="1" applyAlignment="1" applyProtection="1">
      <alignment horizontal="left" vertical="center" wrapText="1"/>
      <protection/>
    </xf>
    <xf numFmtId="0" fontId="11" fillId="2" borderId="31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left" vertical="top" wrapText="1" indent="1"/>
      <protection/>
    </xf>
    <xf numFmtId="0" fontId="11" fillId="2" borderId="5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2" borderId="20" xfId="0" applyFont="1" applyFill="1" applyBorder="1" applyAlignment="1" applyProtection="1">
      <alignment wrapText="1"/>
      <protection/>
    </xf>
    <xf numFmtId="0" fontId="12" fillId="2" borderId="20" xfId="0" applyFont="1" applyFill="1" applyBorder="1" applyAlignment="1" applyProtection="1">
      <alignment vertical="center" wrapText="1"/>
      <protection/>
    </xf>
    <xf numFmtId="0" fontId="12" fillId="2" borderId="52" xfId="0" applyFont="1" applyFill="1" applyBorder="1" applyAlignment="1" applyProtection="1">
      <alignment horizontal="center" vertical="center" wrapText="1"/>
      <protection/>
    </xf>
    <xf numFmtId="0" fontId="12" fillId="4" borderId="75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horizontal="center" vertical="center" wrapText="1"/>
      <protection/>
    </xf>
    <xf numFmtId="0" fontId="12" fillId="4" borderId="72" xfId="0" applyFont="1" applyFill="1" applyBorder="1" applyAlignment="1" applyProtection="1">
      <alignment horizontal="center" vertical="center" wrapText="1"/>
      <protection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80" xfId="0" applyFont="1" applyFill="1" applyBorder="1" applyAlignment="1" applyProtection="1">
      <alignment horizontal="center" vertical="center" wrapText="1"/>
      <protection locked="0"/>
    </xf>
    <xf numFmtId="0" fontId="11" fillId="4" borderId="81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28" xfId="0" applyFont="1" applyFill="1" applyBorder="1" applyAlignment="1" applyProtection="1">
      <alignment horizontal="center" vertical="center" wrapText="1"/>
      <protection locked="0"/>
    </xf>
    <xf numFmtId="0" fontId="11" fillId="4" borderId="65" xfId="0" applyFont="1" applyFill="1" applyBorder="1" applyAlignment="1" applyProtection="1">
      <alignment horizontal="center" vertical="center" wrapText="1"/>
      <protection locked="0"/>
    </xf>
    <xf numFmtId="0" fontId="11" fillId="4" borderId="82" xfId="0" applyFont="1" applyFill="1" applyBorder="1" applyAlignment="1" applyProtection="1">
      <alignment horizontal="center" vertical="center" wrapText="1"/>
      <protection locked="0"/>
    </xf>
    <xf numFmtId="0" fontId="11" fillId="4" borderId="35" xfId="0" applyFont="1" applyFill="1" applyBorder="1" applyAlignment="1" applyProtection="1">
      <alignment horizontal="center" vertical="center" wrapText="1"/>
      <protection locked="0"/>
    </xf>
    <xf numFmtId="0" fontId="11" fillId="4" borderId="79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top" wrapText="1"/>
      <protection/>
    </xf>
    <xf numFmtId="0" fontId="6" fillId="2" borderId="20" xfId="0" applyFont="1" applyFill="1" applyBorder="1" applyAlignment="1" applyProtection="1">
      <alignment horizontal="left" vertical="top" wrapText="1"/>
      <protection/>
    </xf>
    <xf numFmtId="0" fontId="13" fillId="2" borderId="35" xfId="0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Border="1" applyAlignment="1" applyProtection="1">
      <alignment horizontal="center" vertical="center" wrapText="1"/>
      <protection/>
    </xf>
    <xf numFmtId="0" fontId="13" fillId="2" borderId="5" xfId="0" applyFont="1" applyFill="1" applyBorder="1" applyAlignment="1" applyProtection="1">
      <alignment horizontal="center" vertical="center" wrapText="1"/>
      <protection/>
    </xf>
    <xf numFmtId="0" fontId="6" fillId="2" borderId="60" xfId="0" applyFont="1" applyFill="1" applyBorder="1" applyAlignment="1" applyProtection="1">
      <alignment horizontal="left" vertical="top" wrapText="1"/>
      <protection/>
    </xf>
    <xf numFmtId="0" fontId="17" fillId="2" borderId="37" xfId="0" applyFont="1" applyFill="1" applyBorder="1" applyAlignment="1" applyProtection="1">
      <alignment horizontal="center" vertical="center" wrapText="1"/>
      <protection/>
    </xf>
    <xf numFmtId="0" fontId="6" fillId="2" borderId="37" xfId="0" applyFont="1" applyFill="1" applyBorder="1" applyAlignment="1" applyProtection="1">
      <alignment horizontal="left" vertical="top" wrapText="1"/>
      <protection/>
    </xf>
    <xf numFmtId="0" fontId="6" fillId="2" borderId="60" xfId="0" applyFont="1" applyFill="1" applyBorder="1" applyAlignment="1" applyProtection="1">
      <alignment horizontal="center" vertical="center" wrapText="1"/>
      <protection/>
    </xf>
    <xf numFmtId="0" fontId="11" fillId="4" borderId="45" xfId="0" applyFont="1" applyFill="1" applyBorder="1" applyAlignment="1" applyProtection="1">
      <alignment horizontal="center" vertical="center" wrapText="1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1" fillId="4" borderId="19" xfId="0" applyFont="1" applyFill="1" applyBorder="1" applyAlignment="1" applyProtection="1">
      <alignment horizontal="center" vertical="center" wrapText="1"/>
      <protection/>
    </xf>
    <xf numFmtId="0" fontId="11" fillId="4" borderId="16" xfId="0" applyFont="1" applyFill="1" applyBorder="1" applyAlignment="1" applyProtection="1">
      <alignment horizontal="center" vertical="center" wrapText="1"/>
      <protection/>
    </xf>
    <xf numFmtId="0" fontId="11" fillId="4" borderId="0" xfId="0" applyFont="1" applyFill="1" applyBorder="1" applyAlignment="1" applyProtection="1">
      <alignment horizontal="center" vertical="center" wrapText="1"/>
      <protection/>
    </xf>
    <xf numFmtId="0" fontId="11" fillId="4" borderId="9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 applyProtection="1">
      <alignment horizontal="center" vertical="center" wrapText="1"/>
      <protection/>
    </xf>
    <xf numFmtId="0" fontId="11" fillId="4" borderId="35" xfId="0" applyFont="1" applyFill="1" applyBorder="1" applyAlignment="1" applyProtection="1">
      <alignment horizontal="center" vertical="center" wrapText="1"/>
      <protection/>
    </xf>
    <xf numFmtId="0" fontId="11" fillId="4" borderId="78" xfId="0" applyFont="1" applyFill="1" applyBorder="1" applyAlignment="1" applyProtection="1">
      <alignment horizontal="center" vertical="center" wrapText="1"/>
      <protection/>
    </xf>
    <xf numFmtId="0" fontId="11" fillId="4" borderId="4" xfId="0" applyFont="1" applyFill="1" applyBorder="1" applyAlignment="1" applyProtection="1">
      <alignment horizontal="center" vertical="center" wrapText="1"/>
      <protection/>
    </xf>
    <xf numFmtId="0" fontId="11" fillId="4" borderId="13" xfId="0" applyFont="1" applyFill="1" applyBorder="1" applyAlignment="1" applyProtection="1">
      <alignment horizontal="center" vertical="center" wrapText="1"/>
      <protection/>
    </xf>
    <xf numFmtId="0" fontId="11" fillId="4" borderId="11" xfId="0" applyFont="1" applyFill="1" applyBorder="1" applyAlignment="1" applyProtection="1">
      <alignment horizontal="center" vertical="center" wrapText="1"/>
      <protection/>
    </xf>
    <xf numFmtId="0" fontId="11" fillId="4" borderId="34" xfId="0" applyFont="1" applyFill="1" applyBorder="1" applyAlignment="1" applyProtection="1">
      <alignment horizontal="center" vertical="center" wrapText="1"/>
      <protection/>
    </xf>
    <xf numFmtId="0" fontId="11" fillId="4" borderId="15" xfId="0" applyFont="1" applyFill="1" applyBorder="1" applyAlignment="1" applyProtection="1">
      <alignment horizontal="center" vertical="center" wrapText="1"/>
      <protection/>
    </xf>
    <xf numFmtId="0" fontId="6" fillId="2" borderId="35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0" fontId="6" fillId="2" borderId="35" xfId="0" applyFont="1" applyFill="1" applyBorder="1" applyAlignment="1" applyProtection="1">
      <alignment vertical="center" wrapText="1"/>
      <protection/>
    </xf>
    <xf numFmtId="0" fontId="6" fillId="2" borderId="0" xfId="0" applyFont="1" applyFill="1" applyBorder="1" applyAlignment="1" applyProtection="1">
      <alignment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0" fontId="26" fillId="2" borderId="5" xfId="0" applyFont="1" applyFill="1" applyBorder="1" applyAlignment="1" applyProtection="1">
      <alignment/>
      <protection/>
    </xf>
    <xf numFmtId="0" fontId="26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 vertical="top" wrapText="1"/>
      <protection/>
    </xf>
    <xf numFmtId="0" fontId="6" fillId="2" borderId="35" xfId="0" applyFont="1" applyFill="1" applyBorder="1" applyAlignment="1" applyProtection="1">
      <alignment horizontal="center" vertical="top" wrapText="1"/>
      <protection/>
    </xf>
    <xf numFmtId="0" fontId="6" fillId="2" borderId="35" xfId="0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Border="1" applyAlignment="1" applyProtection="1">
      <alignment horizontal="left" vertical="center" wrapText="1"/>
      <protection/>
    </xf>
    <xf numFmtId="1" fontId="6" fillId="2" borderId="35" xfId="0" applyNumberFormat="1" applyFont="1" applyFill="1" applyBorder="1" applyAlignment="1" applyProtection="1">
      <alignment horizontal="center" vertical="center" wrapText="1"/>
      <protection/>
    </xf>
    <xf numFmtId="0" fontId="13" fillId="2" borderId="5" xfId="0" applyFont="1" applyFill="1" applyBorder="1" applyAlignment="1" applyProtection="1">
      <alignment horizontal="left" vertical="center" wrapText="1"/>
      <protection/>
    </xf>
    <xf numFmtId="0" fontId="13" fillId="2" borderId="0" xfId="0" applyFont="1" applyFill="1" applyBorder="1" applyAlignment="1" applyProtection="1">
      <alignment horizontal="left" vertical="center" wrapText="1"/>
      <protection/>
    </xf>
    <xf numFmtId="1" fontId="6" fillId="2" borderId="83" xfId="0" applyNumberFormat="1" applyFont="1" applyFill="1" applyBorder="1" applyAlignment="1" applyProtection="1">
      <alignment horizontal="center" vertical="center" wrapText="1"/>
      <protection/>
    </xf>
    <xf numFmtId="1" fontId="6" fillId="2" borderId="52" xfId="0" applyNumberFormat="1" applyFont="1" applyFill="1" applyBorder="1" applyAlignment="1" applyProtection="1">
      <alignment horizontal="center" vertical="center" wrapText="1"/>
      <protection/>
    </xf>
    <xf numFmtId="1" fontId="6" fillId="2" borderId="0" xfId="0" applyNumberFormat="1" applyFont="1" applyFill="1" applyBorder="1" applyAlignment="1" applyProtection="1">
      <alignment horizontal="center" vertical="center" wrapText="1"/>
      <protection/>
    </xf>
    <xf numFmtId="1" fontId="6" fillId="2" borderId="0" xfId="0" applyNumberFormat="1" applyFont="1" applyFill="1" applyBorder="1" applyAlignment="1" applyProtection="1">
      <alignment horizontal="left" vertical="top" wrapText="1"/>
      <protection/>
    </xf>
    <xf numFmtId="1" fontId="6" fillId="2" borderId="0" xfId="0" applyNumberFormat="1" applyFont="1" applyFill="1" applyAlignment="1" applyProtection="1">
      <alignment horizontal="left" vertical="top" wrapText="1"/>
      <protection/>
    </xf>
    <xf numFmtId="165" fontId="6" fillId="2" borderId="0" xfId="0" applyNumberFormat="1" applyFont="1" applyFill="1" applyAlignment="1" applyProtection="1">
      <alignment horizontal="left" vertical="top" wrapText="1"/>
      <protection/>
    </xf>
    <xf numFmtId="0" fontId="6" fillId="2" borderId="52" xfId="0" applyFont="1" applyFill="1" applyBorder="1" applyAlignment="1" applyProtection="1">
      <alignment vertical="center" wrapText="1"/>
      <protection/>
    </xf>
    <xf numFmtId="0" fontId="6" fillId="2" borderId="5" xfId="0" applyFont="1" applyFill="1" applyBorder="1" applyAlignment="1" applyProtection="1">
      <alignment horizontal="left" vertical="top" wrapText="1"/>
      <protection/>
    </xf>
    <xf numFmtId="1" fontId="11" fillId="2" borderId="2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/>
    </xf>
    <xf numFmtId="0" fontId="0" fillId="2" borderId="60" xfId="0" applyFill="1" applyBorder="1" applyAlignment="1">
      <alignment/>
    </xf>
    <xf numFmtId="0" fontId="0" fillId="2" borderId="37" xfId="0" applyFill="1" applyBorder="1" applyAlignment="1">
      <alignment/>
    </xf>
    <xf numFmtId="0" fontId="11" fillId="2" borderId="2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34" xfId="0" applyFont="1" applyFill="1" applyBorder="1" applyAlignment="1">
      <alignment horizontal="center" wrapText="1"/>
    </xf>
    <xf numFmtId="0" fontId="11" fillId="2" borderId="36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/>
    </xf>
    <xf numFmtId="0" fontId="11" fillId="2" borderId="69" xfId="0" applyFont="1" applyFill="1" applyBorder="1" applyAlignment="1">
      <alignment horizontal="center" vertical="top" wrapText="1"/>
    </xf>
    <xf numFmtId="0" fontId="0" fillId="2" borderId="20" xfId="0" applyFill="1" applyBorder="1" applyAlignment="1">
      <alignment/>
    </xf>
    <xf numFmtId="0" fontId="17" fillId="4" borderId="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4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84" xfId="0" applyFont="1" applyFill="1" applyBorder="1" applyAlignment="1">
      <alignment horizontal="center" vertical="center" wrapText="1"/>
    </xf>
    <xf numFmtId="0" fontId="12" fillId="2" borderId="85" xfId="0" applyFont="1" applyFill="1" applyBorder="1" applyAlignment="1">
      <alignment horizontal="center" vertical="center" wrapText="1"/>
    </xf>
    <xf numFmtId="0" fontId="12" fillId="2" borderId="86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left" vertical="top" wrapText="1" indent="1"/>
    </xf>
    <xf numFmtId="0" fontId="11" fillId="2" borderId="4" xfId="0" applyFont="1" applyFill="1" applyBorder="1" applyAlignment="1">
      <alignment horizontal="left" vertical="top" wrapText="1" inden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left" vertical="top" wrapText="1" indent="1"/>
    </xf>
    <xf numFmtId="0" fontId="11" fillId="2" borderId="21" xfId="0" applyFont="1" applyFill="1" applyBorder="1" applyAlignment="1">
      <alignment horizontal="left" vertical="top" wrapText="1" indent="1"/>
    </xf>
    <xf numFmtId="0" fontId="12" fillId="4" borderId="4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  <protection/>
    </xf>
    <xf numFmtId="0" fontId="13" fillId="4" borderId="3" xfId="0" applyFont="1" applyFill="1" applyBorder="1" applyAlignment="1" applyProtection="1">
      <alignment horizontal="center" vertical="center" wrapText="1"/>
      <protection/>
    </xf>
    <xf numFmtId="0" fontId="11" fillId="2" borderId="4" xfId="0" applyFont="1" applyFill="1" applyBorder="1" applyAlignment="1" applyProtection="1">
      <alignment horizontal="left" vertical="top" wrapText="1" indent="1"/>
      <protection/>
    </xf>
    <xf numFmtId="0" fontId="11" fillId="2" borderId="30" xfId="0" applyFont="1" applyFill="1" applyBorder="1" applyAlignment="1" applyProtection="1">
      <alignment horizontal="left" vertical="top" wrapText="1" indent="1"/>
      <protection/>
    </xf>
    <xf numFmtId="0" fontId="11" fillId="2" borderId="21" xfId="0" applyFont="1" applyFill="1" applyBorder="1" applyAlignment="1" applyProtection="1">
      <alignment horizontal="left" vertical="top" wrapText="1" indent="1"/>
      <protection/>
    </xf>
    <xf numFmtId="0" fontId="11" fillId="2" borderId="22" xfId="0" applyFont="1" applyFill="1" applyBorder="1" applyAlignment="1" applyProtection="1">
      <alignment horizontal="left" vertical="top" wrapText="1" indent="1"/>
      <protection/>
    </xf>
    <xf numFmtId="0" fontId="11" fillId="2" borderId="19" xfId="0" applyFont="1" applyFill="1" applyBorder="1" applyAlignment="1">
      <alignment horizontal="left" vertical="top" wrapText="1" indent="1"/>
    </xf>
    <xf numFmtId="0" fontId="11" fillId="2" borderId="26" xfId="0" applyFont="1" applyFill="1" applyBorder="1" applyAlignment="1">
      <alignment horizontal="left" vertical="top" wrapText="1" indent="1"/>
    </xf>
    <xf numFmtId="0" fontId="17" fillId="4" borderId="74" xfId="0" applyFont="1" applyFill="1" applyBorder="1" applyAlignment="1" applyProtection="1">
      <alignment horizontal="center" vertical="center" wrapText="1"/>
      <protection/>
    </xf>
    <xf numFmtId="0" fontId="17" fillId="4" borderId="8" xfId="0" applyFont="1" applyFill="1" applyBorder="1" applyAlignment="1" applyProtection="1">
      <alignment horizontal="center" vertical="center" wrapText="1"/>
      <protection/>
    </xf>
    <xf numFmtId="0" fontId="11" fillId="2" borderId="19" xfId="0" applyFont="1" applyFill="1" applyBorder="1" applyAlignment="1" applyProtection="1">
      <alignment horizontal="left" vertical="top" wrapText="1" indent="1"/>
      <protection/>
    </xf>
    <xf numFmtId="0" fontId="11" fillId="2" borderId="26" xfId="0" applyFont="1" applyFill="1" applyBorder="1" applyAlignment="1" applyProtection="1">
      <alignment horizontal="left" vertical="top" wrapText="1" indent="1"/>
      <protection/>
    </xf>
    <xf numFmtId="0" fontId="12" fillId="4" borderId="4" xfId="0" applyFont="1" applyFill="1" applyBorder="1" applyAlignment="1" applyProtection="1">
      <alignment horizontal="center" vertical="center" wrapText="1"/>
      <protection/>
    </xf>
    <xf numFmtId="0" fontId="17" fillId="2" borderId="6" xfId="0" applyFont="1" applyFill="1" applyBorder="1" applyAlignment="1" applyProtection="1">
      <alignment horizontal="center" vertical="center" wrapText="1"/>
      <protection/>
    </xf>
    <xf numFmtId="0" fontId="17" fillId="2" borderId="74" xfId="0" applyFont="1" applyFill="1" applyBorder="1" applyAlignment="1" applyProtection="1">
      <alignment horizontal="center" vertical="center" wrapText="1"/>
      <protection/>
    </xf>
    <xf numFmtId="0" fontId="17" fillId="2" borderId="8" xfId="0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left" vertical="center" wrapText="1" indent="1"/>
      <protection/>
    </xf>
    <xf numFmtId="0" fontId="7" fillId="4" borderId="2" xfId="0" applyFont="1" applyFill="1" applyBorder="1" applyAlignment="1" applyProtection="1">
      <alignment horizontal="left" vertical="center" wrapText="1" indent="1"/>
      <protection/>
    </xf>
    <xf numFmtId="0" fontId="7" fillId="4" borderId="3" xfId="0" applyFont="1" applyFill="1" applyBorder="1" applyAlignment="1" applyProtection="1">
      <alignment horizontal="left" vertical="center" wrapText="1" inden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12" fillId="2" borderId="4" xfId="0" applyFont="1" applyFill="1" applyBorder="1" applyAlignment="1" applyProtection="1">
      <alignment horizontal="center" vertical="center" wrapText="1"/>
      <protection/>
    </xf>
    <xf numFmtId="0" fontId="12" fillId="2" borderId="21" xfId="0" applyFont="1" applyFill="1" applyBorder="1" applyAlignment="1" applyProtection="1">
      <alignment horizontal="center" vertical="center" textRotation="90" wrapText="1"/>
      <protection/>
    </xf>
    <xf numFmtId="0" fontId="12" fillId="2" borderId="26" xfId="0" applyFont="1" applyFill="1" applyBorder="1" applyAlignment="1" applyProtection="1">
      <alignment horizontal="center" vertical="center" textRotation="90" wrapText="1"/>
      <protection/>
    </xf>
    <xf numFmtId="0" fontId="12" fillId="2" borderId="30" xfId="0" applyFont="1" applyFill="1" applyBorder="1" applyAlignment="1" applyProtection="1">
      <alignment horizontal="center" vertical="center" textRotation="90" wrapText="1"/>
      <protection/>
    </xf>
    <xf numFmtId="0" fontId="12" fillId="4" borderId="12" xfId="0" applyFont="1" applyFill="1" applyBorder="1" applyAlignment="1" applyProtection="1">
      <alignment horizontal="left" vertical="center" wrapText="1" indent="1"/>
      <protection/>
    </xf>
    <xf numFmtId="0" fontId="12" fillId="4" borderId="87" xfId="0" applyFont="1" applyFill="1" applyBorder="1" applyAlignment="1" applyProtection="1">
      <alignment horizontal="left" vertical="center" wrapText="1" indent="1"/>
      <protection/>
    </xf>
    <xf numFmtId="0" fontId="13" fillId="4" borderId="12" xfId="0" applyFont="1" applyFill="1" applyBorder="1" applyAlignment="1" applyProtection="1">
      <alignment horizontal="center" vertical="center" wrapText="1"/>
      <protection/>
    </xf>
    <xf numFmtId="0" fontId="23" fillId="4" borderId="87" xfId="2" applyFill="1" applyBorder="1" applyAlignment="1" applyProtection="1">
      <alignment horizontal="center" vertical="center" wrapText="1"/>
      <protection/>
    </xf>
    <xf numFmtId="0" fontId="13" fillId="4" borderId="87" xfId="0" applyFont="1" applyFill="1" applyBorder="1" applyAlignment="1" applyProtection="1">
      <alignment horizontal="center" vertical="center" wrapText="1"/>
      <protection/>
    </xf>
    <xf numFmtId="0" fontId="6" fillId="2" borderId="52" xfId="0" applyFont="1" applyFill="1" applyBorder="1" applyAlignment="1" applyProtection="1">
      <alignment horizontal="center" vertical="center" wrapText="1"/>
      <protection/>
    </xf>
    <xf numFmtId="0" fontId="11" fillId="2" borderId="26" xfId="0" applyFont="1" applyFill="1" applyBorder="1" applyAlignment="1" applyProtection="1">
      <alignment horizontal="left" vertical="center" wrapText="1" indent="1"/>
      <protection/>
    </xf>
    <xf numFmtId="0" fontId="11" fillId="2" borderId="30" xfId="0" applyFont="1" applyFill="1" applyBorder="1" applyAlignment="1" applyProtection="1">
      <alignment horizontal="left" vertical="center" wrapText="1" indent="1"/>
      <protection/>
    </xf>
    <xf numFmtId="0" fontId="12" fillId="2" borderId="0" xfId="0" applyFont="1" applyFill="1" applyBorder="1" applyAlignment="1" applyProtection="1">
      <alignment horizontal="center" vertical="center" wrapText="1"/>
      <protection/>
    </xf>
    <xf numFmtId="0" fontId="17" fillId="4" borderId="6" xfId="0" applyFont="1" applyFill="1" applyBorder="1" applyAlignment="1" applyProtection="1">
      <alignment horizontal="center" vertical="center" wrapText="1"/>
      <protection/>
    </xf>
    <xf numFmtId="0" fontId="8" fillId="2" borderId="87" xfId="0" applyFont="1" applyFill="1" applyBorder="1" applyAlignment="1" applyProtection="1">
      <alignment horizontal="center" vertical="center" wrapText="1"/>
      <protection/>
    </xf>
    <xf numFmtId="0" fontId="12" fillId="2" borderId="46" xfId="0" applyFont="1" applyFill="1" applyBorder="1" applyAlignment="1" applyProtection="1">
      <alignment horizontal="center" vertical="center" wrapText="1"/>
      <protection/>
    </xf>
    <xf numFmtId="0" fontId="12" fillId="2" borderId="21" xfId="0" applyFont="1" applyFill="1" applyBorder="1" applyAlignment="1" applyProtection="1">
      <alignment horizontal="center" vertical="center" textRotation="90"/>
      <protection/>
    </xf>
    <xf numFmtId="0" fontId="12" fillId="2" borderId="26" xfId="0" applyFont="1" applyFill="1" applyBorder="1" applyAlignment="1" applyProtection="1">
      <alignment horizontal="center" vertical="center" textRotation="90"/>
      <protection/>
    </xf>
    <xf numFmtId="0" fontId="12" fillId="2" borderId="30" xfId="0" applyFont="1" applyFill="1" applyBorder="1" applyAlignment="1" applyProtection="1">
      <alignment horizontal="center" vertical="center" textRotation="90"/>
      <protection/>
    </xf>
    <xf numFmtId="174" fontId="11" fillId="2" borderId="11" xfId="0" applyNumberFormat="1" applyFont="1" applyFill="1" applyBorder="1" applyAlignment="1" applyProtection="1">
      <alignment horizontal="center" vertical="center" wrapText="1"/>
      <protection/>
    </xf>
    <xf numFmtId="0" fontId="12" fillId="2" borderId="31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12" fillId="2" borderId="75" xfId="0" applyFont="1" applyFill="1" applyBorder="1" applyAlignment="1" applyProtection="1">
      <alignment horizontal="center" vertical="center" wrapText="1"/>
      <protection/>
    </xf>
    <xf numFmtId="0" fontId="12" fillId="2" borderId="55" xfId="0" applyFont="1" applyFill="1" applyBorder="1" applyAlignment="1" applyProtection="1">
      <alignment horizontal="center" vertical="center" wrapText="1"/>
      <protection/>
    </xf>
    <xf numFmtId="0" fontId="11" fillId="2" borderId="4" xfId="0" applyFont="1" applyFill="1" applyBorder="1" applyAlignment="1" applyProtection="1">
      <alignment horizontal="center" vertical="center" wrapText="1"/>
      <protection/>
    </xf>
    <xf numFmtId="0" fontId="11" fillId="2" borderId="22" xfId="0" applyFont="1" applyFill="1" applyBorder="1" applyAlignment="1" applyProtection="1">
      <alignment horizontal="center" vertical="center" wrapText="1"/>
      <protection/>
    </xf>
    <xf numFmtId="0" fontId="11" fillId="2" borderId="18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8" fillId="2" borderId="12" xfId="0" applyFont="1" applyFill="1" applyBorder="1" applyAlignment="1" applyProtection="1">
      <alignment horizontal="center" vertical="center" wrapText="1"/>
      <protection/>
    </xf>
    <xf numFmtId="0" fontId="12" fillId="2" borderId="40" xfId="0" applyFont="1" applyFill="1" applyBorder="1" applyAlignment="1" applyProtection="1">
      <alignment horizontal="center" vertical="center" wrapText="1"/>
      <protection/>
    </xf>
    <xf numFmtId="1" fontId="11" fillId="2" borderId="54" xfId="0" applyNumberFormat="1" applyFont="1" applyFill="1" applyBorder="1" applyAlignment="1" applyProtection="1">
      <alignment horizontal="center" vertical="center" wrapText="1"/>
      <protection/>
    </xf>
    <xf numFmtId="1" fontId="11" fillId="2" borderId="22" xfId="0" applyNumberFormat="1" applyFont="1" applyFill="1" applyBorder="1" applyAlignment="1" applyProtection="1">
      <alignment horizontal="center" vertical="center" wrapText="1"/>
      <protection/>
    </xf>
    <xf numFmtId="1" fontId="11" fillId="2" borderId="23" xfId="0" applyNumberFormat="1" applyFont="1" applyFill="1" applyBorder="1" applyAlignment="1" applyProtection="1">
      <alignment horizontal="center" vertical="center" wrapText="1"/>
      <protection/>
    </xf>
    <xf numFmtId="174" fontId="11" fillId="2" borderId="4" xfId="0" applyNumberFormat="1" applyFont="1" applyFill="1" applyBorder="1" applyAlignment="1" applyProtection="1">
      <alignment horizontal="center" vertical="center" wrapText="1"/>
      <protection/>
    </xf>
    <xf numFmtId="0" fontId="11" fillId="2" borderId="30" xfId="0" applyFont="1" applyFill="1" applyBorder="1" applyAlignment="1" applyProtection="1">
      <alignment horizontal="center" vertical="center" wrapText="1"/>
      <protection/>
    </xf>
    <xf numFmtId="0" fontId="11" fillId="2" borderId="21" xfId="0" applyFont="1" applyFill="1" applyBorder="1" applyAlignment="1" applyProtection="1">
      <alignment horizontal="center" vertical="center" wrapText="1"/>
      <protection/>
    </xf>
    <xf numFmtId="0" fontId="11" fillId="2" borderId="76" xfId="0" applyFont="1" applyFill="1" applyBorder="1" applyAlignment="1" applyProtection="1">
      <alignment horizontal="center" vertical="center" wrapText="1"/>
      <protection/>
    </xf>
    <xf numFmtId="0" fontId="11" fillId="2" borderId="26" xfId="0" applyFont="1" applyFill="1" applyBorder="1" applyAlignment="1" applyProtection="1">
      <alignment horizontal="center" vertical="center" wrapText="1"/>
      <protection/>
    </xf>
    <xf numFmtId="0" fontId="11" fillId="2" borderId="19" xfId="0" applyFont="1" applyFill="1" applyBorder="1" applyAlignment="1" applyProtection="1">
      <alignment horizontal="center" vertical="center" wrapText="1"/>
      <protection/>
    </xf>
    <xf numFmtId="1" fontId="11" fillId="2" borderId="19" xfId="0" applyNumberFormat="1" applyFont="1" applyFill="1" applyBorder="1" applyAlignment="1" applyProtection="1">
      <alignment horizontal="center" vertical="center" wrapText="1"/>
      <protection/>
    </xf>
    <xf numFmtId="1" fontId="11" fillId="2" borderId="9" xfId="0" applyNumberFormat="1" applyFont="1" applyFill="1" applyBorder="1" applyAlignment="1" applyProtection="1">
      <alignment horizontal="center" vertical="center" wrapText="1"/>
      <protection/>
    </xf>
    <xf numFmtId="0" fontId="13" fillId="3" borderId="1" xfId="0" applyFont="1" applyFill="1" applyBorder="1" applyAlignment="1" applyProtection="1">
      <alignment horizontal="left" vertical="center" wrapText="1" indent="1"/>
      <protection/>
    </xf>
    <xf numFmtId="0" fontId="13" fillId="3" borderId="2" xfId="0" applyFont="1" applyFill="1" applyBorder="1" applyAlignment="1" applyProtection="1">
      <alignment horizontal="left" vertical="center" wrapText="1" indent="1"/>
      <protection/>
    </xf>
    <xf numFmtId="0" fontId="13" fillId="3" borderId="3" xfId="0" applyFont="1" applyFill="1" applyBorder="1" applyAlignment="1" applyProtection="1">
      <alignment horizontal="left" vertical="center" wrapText="1" indent="1"/>
      <protection/>
    </xf>
    <xf numFmtId="0" fontId="11" fillId="2" borderId="46" xfId="0" applyFont="1" applyFill="1" applyBorder="1" applyAlignment="1" applyProtection="1">
      <alignment horizontal="center"/>
      <protection/>
    </xf>
    <xf numFmtId="0" fontId="11" fillId="2" borderId="40" xfId="0" applyFont="1" applyFill="1" applyBorder="1" applyAlignment="1" applyProtection="1">
      <alignment horizontal="center"/>
      <protection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left" vertical="center" indent="1"/>
    </xf>
    <xf numFmtId="0" fontId="8" fillId="4" borderId="3" xfId="0" applyFont="1" applyFill="1" applyBorder="1" applyAlignment="1">
      <alignment horizontal="left" vertical="center" indent="1"/>
    </xf>
    <xf numFmtId="0" fontId="7" fillId="6" borderId="88" xfId="0" applyFont="1" applyFill="1" applyBorder="1" applyAlignment="1">
      <alignment horizontal="center" vertical="center" wrapText="1"/>
    </xf>
    <xf numFmtId="0" fontId="7" fillId="6" borderId="89" xfId="0" applyFont="1" applyFill="1" applyBorder="1" applyAlignment="1">
      <alignment horizontal="center" vertical="center"/>
    </xf>
    <xf numFmtId="0" fontId="7" fillId="6" borderId="9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7" borderId="91" xfId="0" applyFont="1" applyFill="1" applyBorder="1" applyAlignment="1" applyProtection="1">
      <alignment horizontal="left" vertical="center" indent="1"/>
      <protection locked="0"/>
    </xf>
    <xf numFmtId="0" fontId="8" fillId="7" borderId="92" xfId="0" applyFont="1" applyFill="1" applyBorder="1" applyAlignment="1" applyProtection="1">
      <alignment horizontal="left" vertical="center" indent="1"/>
      <protection locked="0"/>
    </xf>
    <xf numFmtId="0" fontId="8" fillId="7" borderId="93" xfId="0" applyFont="1" applyFill="1" applyBorder="1" applyAlignment="1" applyProtection="1">
      <alignment horizontal="left" vertical="center" indent="1"/>
      <protection locked="0"/>
    </xf>
    <xf numFmtId="0" fontId="6" fillId="2" borderId="8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left" vertical="center" wrapText="1" indent="1"/>
      <protection/>
    </xf>
    <xf numFmtId="0" fontId="12" fillId="4" borderId="2" xfId="0" applyFont="1" applyFill="1" applyBorder="1" applyAlignment="1" applyProtection="1">
      <alignment horizontal="left" vertical="center" wrapText="1" indent="1"/>
      <protection/>
    </xf>
    <xf numFmtId="0" fontId="12" fillId="4" borderId="3" xfId="0" applyFont="1" applyFill="1" applyBorder="1" applyAlignment="1" applyProtection="1">
      <alignment horizontal="left" vertical="center" wrapText="1" indent="1"/>
      <protection/>
    </xf>
    <xf numFmtId="0" fontId="11" fillId="2" borderId="94" xfId="0" applyFont="1" applyFill="1" applyBorder="1" applyAlignment="1">
      <alignment horizontal="left" vertical="top" wrapText="1" indent="1"/>
    </xf>
    <xf numFmtId="0" fontId="11" fillId="2" borderId="42" xfId="0" applyFont="1" applyFill="1" applyBorder="1" applyAlignment="1">
      <alignment horizontal="left" vertical="top" wrapText="1" indent="1"/>
    </xf>
    <xf numFmtId="0" fontId="11" fillId="2" borderId="50" xfId="0" applyFont="1" applyFill="1" applyBorder="1" applyAlignment="1">
      <alignment horizontal="left" vertical="top" wrapText="1" indent="1"/>
    </xf>
    <xf numFmtId="0" fontId="11" fillId="2" borderId="45" xfId="0" applyFont="1" applyFill="1" applyBorder="1" applyAlignment="1">
      <alignment horizontal="left" vertical="top" wrapText="1" indent="1"/>
    </xf>
    <xf numFmtId="0" fontId="11" fillId="2" borderId="43" xfId="0" applyFont="1" applyFill="1" applyBorder="1" applyAlignment="1">
      <alignment horizontal="left" vertical="top" wrapText="1" indent="1"/>
    </xf>
    <xf numFmtId="0" fontId="11" fillId="2" borderId="18" xfId="0" applyFont="1" applyFill="1" applyBorder="1" applyAlignment="1">
      <alignment horizontal="left" vertical="top" wrapText="1" indent="1"/>
    </xf>
    <xf numFmtId="0" fontId="12" fillId="2" borderId="95" xfId="0" applyFont="1" applyFill="1" applyBorder="1" applyAlignment="1">
      <alignment horizontal="center" vertical="center" wrapText="1"/>
    </xf>
    <xf numFmtId="1" fontId="11" fillId="2" borderId="34" xfId="0" applyNumberFormat="1" applyFont="1" applyFill="1" applyBorder="1" applyAlignment="1">
      <alignment horizontal="center" vertical="center" wrapText="1"/>
    </xf>
    <xf numFmtId="1" fontId="11" fillId="2" borderId="66" xfId="0" applyNumberFormat="1" applyFont="1" applyFill="1" applyBorder="1" applyAlignment="1">
      <alignment horizontal="center" vertical="center" wrapText="1"/>
    </xf>
    <xf numFmtId="0" fontId="17" fillId="4" borderId="96" xfId="0" applyFont="1" applyFill="1" applyBorder="1" applyAlignment="1">
      <alignment horizontal="center" vertical="center" wrapText="1"/>
    </xf>
    <xf numFmtId="0" fontId="17" fillId="4" borderId="80" xfId="0" applyFont="1" applyFill="1" applyBorder="1" applyAlignment="1">
      <alignment horizontal="center" vertical="center" wrapText="1"/>
    </xf>
    <xf numFmtId="0" fontId="17" fillId="4" borderId="81" xfId="0" applyFont="1" applyFill="1" applyBorder="1" applyAlignment="1">
      <alignment horizontal="center" vertical="center" wrapText="1"/>
    </xf>
    <xf numFmtId="0" fontId="17" fillId="2" borderId="97" xfId="0" applyFont="1" applyFill="1" applyBorder="1" applyAlignment="1">
      <alignment horizontal="center" vertical="center" wrapText="1"/>
    </xf>
    <xf numFmtId="1" fontId="11" fillId="2" borderId="35" xfId="0" applyNumberFormat="1" applyFont="1" applyFill="1" applyBorder="1" applyAlignment="1">
      <alignment horizontal="center" vertical="center" wrapText="1"/>
    </xf>
    <xf numFmtId="1" fontId="11" fillId="2" borderId="79" xfId="0" applyNumberFormat="1" applyFont="1" applyFill="1" applyBorder="1" applyAlignment="1">
      <alignment horizontal="center" vertical="center" wrapText="1"/>
    </xf>
    <xf numFmtId="1" fontId="11" fillId="2" borderId="25" xfId="0" applyNumberFormat="1" applyFont="1" applyFill="1" applyBorder="1" applyAlignment="1">
      <alignment horizontal="center" vertical="center" wrapText="1"/>
    </xf>
    <xf numFmtId="1" fontId="11" fillId="2" borderId="28" xfId="0" applyNumberFormat="1" applyFont="1" applyFill="1" applyBorder="1" applyAlignment="1">
      <alignment horizontal="center" vertical="center" wrapText="1"/>
    </xf>
    <xf numFmtId="1" fontId="11" fillId="2" borderId="65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top" wrapText="1" indent="1"/>
    </xf>
    <xf numFmtId="0" fontId="11" fillId="2" borderId="28" xfId="0" applyFont="1" applyFill="1" applyBorder="1" applyAlignment="1">
      <alignment horizontal="left" vertical="top" wrapText="1" indent="1"/>
    </xf>
    <xf numFmtId="0" fontId="12" fillId="4" borderId="98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 indent="1"/>
    </xf>
    <xf numFmtId="0" fontId="11" fillId="2" borderId="25" xfId="0" applyFont="1" applyFill="1" applyBorder="1" applyAlignment="1">
      <alignment horizontal="left" vertical="top" wrapText="1" indent="1"/>
    </xf>
    <xf numFmtId="1" fontId="11" fillId="2" borderId="51" xfId="0" applyNumberFormat="1" applyFont="1" applyFill="1" applyBorder="1" applyAlignment="1">
      <alignment horizontal="center" vertical="center" wrapText="1"/>
    </xf>
    <xf numFmtId="1" fontId="11" fillId="2" borderId="53" xfId="0" applyNumberFormat="1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left" vertical="top" wrapText="1" indent="1"/>
    </xf>
    <xf numFmtId="0" fontId="6" fillId="2" borderId="42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1" fontId="11" fillId="2" borderId="45" xfId="0" applyNumberFormat="1" applyFont="1" applyFill="1" applyBorder="1" applyAlignment="1">
      <alignment horizontal="center" vertical="center" wrapText="1"/>
    </xf>
    <xf numFmtId="1" fontId="11" fillId="2" borderId="18" xfId="0" applyNumberFormat="1" applyFont="1" applyFill="1" applyBorder="1" applyAlignment="1">
      <alignment horizontal="center" vertical="center" wrapText="1"/>
    </xf>
    <xf numFmtId="44" fontId="11" fillId="2" borderId="42" xfId="17" applyFont="1" applyFill="1" applyBorder="1" applyAlignment="1">
      <alignment horizontal="left" vertical="top" wrapText="1" indent="1"/>
    </xf>
    <xf numFmtId="44" fontId="11" fillId="2" borderId="21" xfId="17" applyFont="1" applyFill="1" applyBorder="1" applyAlignment="1">
      <alignment horizontal="left" vertical="top" wrapText="1" indent="1"/>
    </xf>
    <xf numFmtId="1" fontId="11" fillId="2" borderId="13" xfId="0" applyNumberFormat="1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left" vertical="top" wrapText="1" indent="1"/>
    </xf>
    <xf numFmtId="0" fontId="11" fillId="2" borderId="23" xfId="0" applyFont="1" applyFill="1" applyBorder="1" applyAlignment="1">
      <alignment horizontal="left" vertical="top" wrapText="1" indent="1"/>
    </xf>
    <xf numFmtId="0" fontId="8" fillId="2" borderId="6" xfId="0" applyFont="1" applyFill="1" applyBorder="1" applyAlignment="1" applyProtection="1">
      <alignment horizontal="center" vertical="center" wrapText="1"/>
      <protection/>
    </xf>
    <xf numFmtId="0" fontId="8" fillId="2" borderId="74" xfId="0" applyFont="1" applyFill="1" applyBorder="1" applyAlignment="1" applyProtection="1">
      <alignment horizontal="center" vertical="center" wrapText="1"/>
      <protection/>
    </xf>
    <xf numFmtId="0" fontId="8" fillId="2" borderId="8" xfId="0" applyFont="1" applyFill="1" applyBorder="1" applyAlignment="1" applyProtection="1">
      <alignment horizontal="center" vertical="center" wrapText="1"/>
      <protection/>
    </xf>
    <xf numFmtId="0" fontId="17" fillId="4" borderId="1" xfId="0" applyFont="1" applyFill="1" applyBorder="1" applyAlignment="1" applyProtection="1">
      <alignment horizontal="center" vertical="center" wrapText="1"/>
      <protection/>
    </xf>
    <xf numFmtId="0" fontId="17" fillId="4" borderId="2" xfId="0" applyFont="1" applyFill="1" applyBorder="1" applyAlignment="1" applyProtection="1">
      <alignment horizontal="center" vertical="center" wrapText="1"/>
      <protection/>
    </xf>
    <xf numFmtId="0" fontId="17" fillId="4" borderId="3" xfId="0" applyFont="1" applyFill="1" applyBorder="1" applyAlignment="1" applyProtection="1">
      <alignment horizontal="center" vertical="center" wrapText="1"/>
      <protection/>
    </xf>
    <xf numFmtId="0" fontId="11" fillId="2" borderId="10" xfId="0" applyFont="1" applyFill="1" applyBorder="1" applyAlignment="1" applyProtection="1">
      <alignment horizontal="center" vertical="center" wrapText="1"/>
      <protection/>
    </xf>
    <xf numFmtId="0" fontId="11" fillId="2" borderId="64" xfId="0" applyFont="1" applyFill="1" applyBorder="1" applyAlignment="1" applyProtection="1">
      <alignment horizontal="left" vertical="center" wrapText="1" indent="1"/>
      <protection/>
    </xf>
    <xf numFmtId="0" fontId="11" fillId="2" borderId="25" xfId="0" applyFont="1" applyFill="1" applyBorder="1" applyAlignment="1" applyProtection="1">
      <alignment horizontal="left" vertical="center" wrapText="1" indent="1"/>
      <protection/>
    </xf>
    <xf numFmtId="0" fontId="11" fillId="2" borderId="56" xfId="0" applyFont="1" applyFill="1" applyBorder="1" applyAlignment="1" applyProtection="1">
      <alignment horizontal="left" vertical="center" wrapText="1" indent="1"/>
      <protection/>
    </xf>
    <xf numFmtId="0" fontId="8" fillId="2" borderId="99" xfId="0" applyFont="1" applyFill="1" applyBorder="1" applyAlignment="1" applyProtection="1">
      <alignment horizontal="center" vertical="center" wrapText="1"/>
      <protection/>
    </xf>
    <xf numFmtId="0" fontId="8" fillId="2" borderId="97" xfId="0" applyFont="1" applyFill="1" applyBorder="1" applyAlignment="1" applyProtection="1">
      <alignment horizontal="center" vertical="center" wrapText="1"/>
      <protection/>
    </xf>
    <xf numFmtId="0" fontId="11" fillId="2" borderId="66" xfId="0" applyFont="1" applyFill="1" applyBorder="1" applyAlignment="1" applyProtection="1">
      <alignment horizontal="left" vertical="center" wrapText="1" indent="1"/>
      <protection/>
    </xf>
    <xf numFmtId="0" fontId="11" fillId="2" borderId="34" xfId="0" applyFont="1" applyFill="1" applyBorder="1" applyAlignment="1" applyProtection="1">
      <alignment horizontal="left" vertical="center" wrapText="1" indent="1"/>
      <protection/>
    </xf>
    <xf numFmtId="0" fontId="11" fillId="2" borderId="58" xfId="0" applyFont="1" applyFill="1" applyBorder="1" applyAlignment="1" applyProtection="1">
      <alignment horizontal="left" vertical="center" wrapText="1" indent="1"/>
      <protection/>
    </xf>
    <xf numFmtId="0" fontId="11" fillId="2" borderId="65" xfId="0" applyFont="1" applyFill="1" applyBorder="1" applyAlignment="1" applyProtection="1">
      <alignment horizontal="left" vertical="center" wrapText="1" indent="1"/>
      <protection/>
    </xf>
    <xf numFmtId="0" fontId="11" fillId="2" borderId="28" xfId="0" applyFont="1" applyFill="1" applyBorder="1" applyAlignment="1" applyProtection="1">
      <alignment horizontal="left" vertical="center" wrapText="1" indent="1"/>
      <protection/>
    </xf>
    <xf numFmtId="0" fontId="11" fillId="2" borderId="57" xfId="0" applyFont="1" applyFill="1" applyBorder="1" applyAlignment="1" applyProtection="1">
      <alignment horizontal="left" vertical="center" wrapText="1" indent="1"/>
      <protection/>
    </xf>
    <xf numFmtId="0" fontId="11" fillId="2" borderId="44" xfId="0" applyFont="1" applyFill="1" applyBorder="1" applyAlignment="1" applyProtection="1">
      <alignment horizontal="left" vertical="center" wrapText="1" indent="1"/>
      <protection/>
    </xf>
    <xf numFmtId="0" fontId="11" fillId="2" borderId="20" xfId="0" applyFont="1" applyFill="1" applyBorder="1" applyAlignment="1" applyProtection="1">
      <alignment horizontal="left" vertical="center" wrapText="1" indent="1"/>
      <protection/>
    </xf>
    <xf numFmtId="0" fontId="12" fillId="2" borderId="26" xfId="0" applyFont="1" applyFill="1" applyBorder="1" applyAlignment="1" applyProtection="1">
      <alignment horizontal="center" vertical="center" wrapText="1"/>
      <protection/>
    </xf>
    <xf numFmtId="0" fontId="12" fillId="2" borderId="19" xfId="0" applyFont="1" applyFill="1" applyBorder="1" applyAlignment="1" applyProtection="1">
      <alignment horizontal="center" vertical="center" wrapText="1"/>
      <protection/>
    </xf>
    <xf numFmtId="0" fontId="12" fillId="2" borderId="30" xfId="0" applyFont="1" applyFill="1" applyBorder="1" applyAlignment="1" applyProtection="1">
      <alignment horizontal="center" vertical="center" wrapText="1"/>
      <protection/>
    </xf>
    <xf numFmtId="1" fontId="11" fillId="2" borderId="11" xfId="0" applyNumberFormat="1" applyFont="1" applyFill="1" applyBorder="1" applyAlignment="1" applyProtection="1">
      <alignment horizontal="center" vertical="center" wrapText="1"/>
      <protection/>
    </xf>
    <xf numFmtId="1" fontId="11" fillId="2" borderId="66" xfId="0" applyNumberFormat="1" applyFont="1" applyFill="1" applyBorder="1" applyAlignment="1" applyProtection="1">
      <alignment horizontal="center" vertical="center" wrapText="1"/>
      <protection/>
    </xf>
    <xf numFmtId="1" fontId="11" fillId="2" borderId="100" xfId="0" applyNumberFormat="1" applyFont="1" applyFill="1" applyBorder="1" applyAlignment="1" applyProtection="1">
      <alignment horizontal="center" vertical="center" wrapText="1"/>
      <protection/>
    </xf>
    <xf numFmtId="1" fontId="11" fillId="2" borderId="101" xfId="0" applyNumberFormat="1" applyFont="1" applyFill="1" applyBorder="1" applyAlignment="1" applyProtection="1">
      <alignment horizontal="center" vertical="center" wrapText="1"/>
      <protection/>
    </xf>
    <xf numFmtId="0" fontId="12" fillId="2" borderId="5" xfId="0" applyFont="1" applyFill="1" applyBorder="1" applyAlignment="1" applyProtection="1">
      <alignment horizontal="center" vertical="center" wrapText="1"/>
      <protection/>
    </xf>
    <xf numFmtId="1" fontId="11" fillId="2" borderId="102" xfId="0" applyNumberFormat="1" applyFont="1" applyFill="1" applyBorder="1" applyAlignment="1" applyProtection="1">
      <alignment horizontal="center" vertical="center" wrapText="1"/>
      <protection/>
    </xf>
    <xf numFmtId="1" fontId="11" fillId="2" borderId="68" xfId="0" applyNumberFormat="1" applyFont="1" applyFill="1" applyBorder="1" applyAlignment="1" applyProtection="1">
      <alignment horizontal="center" vertical="center" wrapText="1"/>
      <protection/>
    </xf>
    <xf numFmtId="1" fontId="11" fillId="2" borderId="103" xfId="0" applyNumberFormat="1" applyFont="1" applyFill="1" applyBorder="1" applyAlignment="1" applyProtection="1">
      <alignment horizontal="center" vertical="center" wrapText="1"/>
      <protection/>
    </xf>
    <xf numFmtId="1" fontId="11" fillId="2" borderId="104" xfId="0" applyNumberFormat="1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horizontal="center" vertical="center" wrapText="1"/>
      <protection/>
    </xf>
    <xf numFmtId="0" fontId="12" fillId="4" borderId="105" xfId="0" applyFont="1" applyFill="1" applyBorder="1" applyAlignment="1" applyProtection="1">
      <alignment horizontal="center" vertical="center" wrapText="1"/>
      <protection/>
    </xf>
    <xf numFmtId="1" fontId="11" fillId="2" borderId="65" xfId="0" applyNumberFormat="1" applyFont="1" applyFill="1" applyBorder="1" applyAlignment="1" applyProtection="1">
      <alignment horizontal="center" vertical="center" wrapText="1"/>
      <protection/>
    </xf>
    <xf numFmtId="1" fontId="11" fillId="2" borderId="106" xfId="0" applyNumberFormat="1" applyFont="1" applyFill="1" applyBorder="1" applyAlignment="1" applyProtection="1">
      <alignment horizontal="center" vertical="center" wrapText="1"/>
      <protection/>
    </xf>
    <xf numFmtId="1" fontId="11" fillId="2" borderId="107" xfId="0" applyNumberFormat="1" applyFont="1" applyFill="1" applyBorder="1" applyAlignment="1" applyProtection="1">
      <alignment horizontal="center" vertical="center" wrapText="1"/>
      <protection/>
    </xf>
    <xf numFmtId="1" fontId="11" fillId="2" borderId="64" xfId="0" applyNumberFormat="1" applyFont="1" applyFill="1" applyBorder="1" applyAlignment="1" applyProtection="1">
      <alignment horizontal="center" vertical="center" wrapText="1"/>
      <protection/>
    </xf>
    <xf numFmtId="1" fontId="11" fillId="2" borderId="73" xfId="0" applyNumberFormat="1" applyFont="1" applyFill="1" applyBorder="1" applyAlignment="1" applyProtection="1">
      <alignment horizontal="center" vertical="center" wrapText="1"/>
      <protection/>
    </xf>
    <xf numFmtId="0" fontId="12" fillId="2" borderId="21" xfId="0" applyFont="1" applyFill="1" applyBorder="1" applyAlignment="1" applyProtection="1">
      <alignment horizontal="center" vertical="center" wrapText="1"/>
      <protection/>
    </xf>
    <xf numFmtId="0" fontId="12" fillId="2" borderId="22" xfId="0" applyFont="1" applyFill="1" applyBorder="1" applyAlignment="1" applyProtection="1">
      <alignment horizontal="center" vertical="center" wrapText="1"/>
      <protection/>
    </xf>
    <xf numFmtId="0" fontId="12" fillId="2" borderId="7" xfId="0" applyFont="1" applyFill="1" applyBorder="1" applyAlignment="1" applyProtection="1">
      <alignment horizontal="center" vertical="center" wrapText="1"/>
      <protection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11" fillId="2" borderId="101" xfId="0" applyFont="1" applyFill="1" applyBorder="1" applyAlignment="1" applyProtection="1">
      <alignment horizontal="left" vertical="center" wrapText="1" indent="1"/>
      <protection/>
    </xf>
    <xf numFmtId="0" fontId="11" fillId="2" borderId="75" xfId="0" applyFont="1" applyFill="1" applyBorder="1" applyAlignment="1" applyProtection="1">
      <alignment horizontal="center" vertical="center" wrapText="1"/>
      <protection/>
    </xf>
    <xf numFmtId="0" fontId="11" fillId="2" borderId="55" xfId="0" applyFont="1" applyFill="1" applyBorder="1" applyAlignment="1" applyProtection="1">
      <alignment horizontal="center" vertical="center" wrapText="1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8" fillId="4" borderId="3" xfId="0" applyFont="1" applyFill="1" applyBorder="1" applyAlignment="1" applyProtection="1">
      <alignment horizontal="center" vertical="center" wrapText="1"/>
      <protection/>
    </xf>
    <xf numFmtId="0" fontId="11" fillId="2" borderId="72" xfId="0" applyFont="1" applyFill="1" applyBorder="1" applyAlignment="1" applyProtection="1">
      <alignment horizontal="center" vertical="center" wrapText="1"/>
      <protection/>
    </xf>
    <xf numFmtId="0" fontId="11" fillId="2" borderId="13" xfId="0" applyFont="1" applyFill="1" applyBorder="1" applyAlignment="1" applyProtection="1">
      <alignment horizontal="center" vertical="center" wrapText="1"/>
      <protection/>
    </xf>
    <xf numFmtId="0" fontId="11" fillId="2" borderId="66" xfId="0" applyFont="1" applyFill="1" applyBorder="1" applyAlignment="1" applyProtection="1">
      <alignment horizontal="center" vertical="center" wrapText="1"/>
      <protection/>
    </xf>
    <xf numFmtId="0" fontId="11" fillId="2" borderId="34" xfId="0" applyFont="1" applyFill="1" applyBorder="1" applyAlignment="1" applyProtection="1">
      <alignment horizontal="left" vertical="center" wrapText="1"/>
      <protection/>
    </xf>
    <xf numFmtId="0" fontId="11" fillId="2" borderId="66" xfId="0" applyFont="1" applyFill="1" applyBorder="1" applyAlignment="1" applyProtection="1">
      <alignment horizontal="left" vertical="center" wrapText="1"/>
      <protection/>
    </xf>
    <xf numFmtId="0" fontId="11" fillId="2" borderId="0" xfId="0" applyFont="1" applyFill="1" applyBorder="1" applyAlignment="1" applyProtection="1">
      <alignment horizontal="left" vertical="center" wrapText="1"/>
      <protection/>
    </xf>
    <xf numFmtId="0" fontId="11" fillId="2" borderId="44" xfId="0" applyFont="1" applyFill="1" applyBorder="1" applyAlignment="1" applyProtection="1">
      <alignment horizontal="left" vertical="center" wrapText="1"/>
      <protection/>
    </xf>
    <xf numFmtId="0" fontId="11" fillId="2" borderId="0" xfId="0" applyFont="1" applyFill="1" applyBorder="1" applyAlignment="1" applyProtection="1">
      <alignment horizontal="left" vertical="center" wrapText="1" indent="1"/>
      <protection/>
    </xf>
    <xf numFmtId="0" fontId="11" fillId="2" borderId="60" xfId="0" applyFont="1" applyFill="1" applyBorder="1" applyAlignment="1" applyProtection="1">
      <alignment horizontal="left" vertical="center" wrapText="1" indent="1"/>
      <protection/>
    </xf>
    <xf numFmtId="0" fontId="11" fillId="2" borderId="105" xfId="0" applyFont="1" applyFill="1" applyBorder="1" applyAlignment="1" applyProtection="1">
      <alignment horizontal="center" vertical="center" wrapText="1"/>
      <protection/>
    </xf>
    <xf numFmtId="0" fontId="11" fillId="2" borderId="108" xfId="0" applyFont="1" applyFill="1" applyBorder="1" applyAlignment="1" applyProtection="1">
      <alignment horizontal="center" vertical="center" wrapText="1"/>
      <protection/>
    </xf>
    <xf numFmtId="0" fontId="11" fillId="2" borderId="28" xfId="0" applyFont="1" applyFill="1" applyBorder="1" applyAlignment="1" applyProtection="1">
      <alignment vertical="center" wrapText="1"/>
      <protection/>
    </xf>
    <xf numFmtId="0" fontId="11" fillId="2" borderId="65" xfId="0" applyFont="1" applyFill="1" applyBorder="1" applyAlignment="1" applyProtection="1">
      <alignment vertical="center" wrapText="1"/>
      <protection/>
    </xf>
    <xf numFmtId="0" fontId="11" fillId="2" borderId="64" xfId="0" applyFont="1" applyFill="1" applyBorder="1" applyAlignment="1" applyProtection="1">
      <alignment horizontal="center" vertical="center" wrapText="1"/>
      <protection/>
    </xf>
    <xf numFmtId="0" fontId="11" fillId="2" borderId="45" xfId="0" applyFont="1" applyFill="1" applyBorder="1" applyAlignment="1" applyProtection="1">
      <alignment horizontal="center" vertical="center" wrapText="1"/>
      <protection/>
    </xf>
    <xf numFmtId="0" fontId="11" fillId="2" borderId="53" xfId="0" applyFont="1" applyFill="1" applyBorder="1" applyAlignment="1" applyProtection="1">
      <alignment horizontal="center" vertical="center" wrapText="1"/>
      <protection/>
    </xf>
    <xf numFmtId="0" fontId="12" fillId="2" borderId="9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vertical="center" wrapText="1"/>
      <protection/>
    </xf>
    <xf numFmtId="0" fontId="11" fillId="2" borderId="44" xfId="0" applyFont="1" applyFill="1" applyBorder="1" applyAlignment="1" applyProtection="1">
      <alignment vertical="center" wrapText="1"/>
      <protection/>
    </xf>
    <xf numFmtId="0" fontId="11" fillId="2" borderId="51" xfId="0" applyFont="1" applyFill="1" applyBorder="1" applyAlignment="1" applyProtection="1">
      <alignment vertical="center" wrapText="1"/>
      <protection/>
    </xf>
    <xf numFmtId="0" fontId="11" fillId="2" borderId="53" xfId="0" applyFont="1" applyFill="1" applyBorder="1" applyAlignment="1" applyProtection="1">
      <alignment vertical="center" wrapText="1"/>
      <protection/>
    </xf>
    <xf numFmtId="0" fontId="11" fillId="2" borderId="34" xfId="0" applyFont="1" applyFill="1" applyBorder="1" applyAlignment="1" applyProtection="1">
      <alignment vertical="center" wrapText="1"/>
      <protection/>
    </xf>
    <xf numFmtId="0" fontId="11" fillId="2" borderId="66" xfId="0" applyFont="1" applyFill="1" applyBorder="1" applyAlignment="1" applyProtection="1">
      <alignment vertical="center" wrapText="1"/>
      <protection/>
    </xf>
    <xf numFmtId="0" fontId="11" fillId="2" borderId="28" xfId="0" applyFont="1" applyFill="1" applyBorder="1" applyAlignment="1" applyProtection="1">
      <alignment horizontal="left" vertical="center" wrapText="1"/>
      <protection/>
    </xf>
    <xf numFmtId="0" fontId="11" fillId="2" borderId="65" xfId="0" applyFont="1" applyFill="1" applyBorder="1" applyAlignment="1" applyProtection="1">
      <alignment horizontal="left" vertical="center" wrapText="1"/>
      <protection/>
    </xf>
    <xf numFmtId="0" fontId="11" fillId="2" borderId="54" xfId="0" applyFont="1" applyFill="1" applyBorder="1" applyAlignment="1" applyProtection="1">
      <alignment horizontal="left" vertical="center" wrapText="1" indent="1"/>
      <protection/>
    </xf>
    <xf numFmtId="0" fontId="11" fillId="2" borderId="107" xfId="0" applyFont="1" applyFill="1" applyBorder="1" applyAlignment="1" applyProtection="1">
      <alignment horizontal="left" vertical="center" wrapText="1" indent="1"/>
      <protection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/>
    </xf>
    <xf numFmtId="0" fontId="11" fillId="2" borderId="24" xfId="0" applyFont="1" applyFill="1" applyBorder="1" applyAlignment="1" applyProtection="1">
      <alignment horizontal="center" vertical="center" wrapText="1"/>
      <protection/>
    </xf>
    <xf numFmtId="0" fontId="11" fillId="2" borderId="51" xfId="0" applyFont="1" applyFill="1" applyBorder="1" applyAlignment="1" applyProtection="1">
      <alignment horizontal="left" vertical="center" wrapText="1" indent="1"/>
      <protection/>
    </xf>
    <xf numFmtId="0" fontId="11" fillId="2" borderId="109" xfId="0" applyFont="1" applyFill="1" applyBorder="1" applyAlignment="1" applyProtection="1">
      <alignment horizontal="left" vertical="center" wrapText="1" indent="1"/>
      <protection/>
    </xf>
    <xf numFmtId="0" fontId="11" fillId="2" borderId="110" xfId="0" applyFont="1" applyFill="1" applyBorder="1" applyAlignment="1" applyProtection="1">
      <alignment horizontal="left" vertical="center" wrapText="1" indent="1"/>
      <protection/>
    </xf>
    <xf numFmtId="0" fontId="11" fillId="2" borderId="111" xfId="0" applyFont="1" applyFill="1" applyBorder="1" applyAlignment="1" applyProtection="1">
      <alignment horizontal="left" vertical="center" wrapText="1" indent="1"/>
      <protection/>
    </xf>
    <xf numFmtId="0" fontId="11" fillId="2" borderId="11" xfId="0" applyFont="1" applyFill="1" applyBorder="1" applyAlignment="1" applyProtection="1">
      <alignment horizontal="center" vertical="center" wrapText="1"/>
      <protection/>
    </xf>
    <xf numFmtId="1" fontId="11" fillId="2" borderId="41" xfId="0" applyNumberFormat="1" applyFont="1" applyFill="1" applyBorder="1" applyAlignment="1" applyProtection="1">
      <alignment horizontal="center" vertical="center" wrapText="1"/>
      <protection/>
    </xf>
    <xf numFmtId="1" fontId="11" fillId="2" borderId="49" xfId="0" applyNumberFormat="1" applyFont="1" applyFill="1" applyBorder="1" applyAlignment="1" applyProtection="1">
      <alignment horizontal="center" vertical="center" wrapText="1"/>
      <protection/>
    </xf>
    <xf numFmtId="0" fontId="11" fillId="2" borderId="51" xfId="0" applyFont="1" applyFill="1" applyBorder="1" applyAlignment="1" applyProtection="1">
      <alignment horizontal="left" vertical="center" wrapText="1"/>
      <protection/>
    </xf>
    <xf numFmtId="0" fontId="11" fillId="2" borderId="53" xfId="0" applyFont="1" applyFill="1" applyBorder="1" applyAlignment="1" applyProtection="1">
      <alignment horizontal="left" vertical="center" wrapText="1"/>
      <protection/>
    </xf>
    <xf numFmtId="0" fontId="12" fillId="4" borderId="108" xfId="0" applyFont="1" applyFill="1" applyBorder="1" applyAlignment="1" applyProtection="1">
      <alignment horizontal="center" vertical="center" wrapText="1"/>
      <protection/>
    </xf>
    <xf numFmtId="0" fontId="10" fillId="2" borderId="19" xfId="0" applyFont="1" applyFill="1" applyBorder="1" applyAlignment="1" applyProtection="1">
      <alignment horizontal="center" vertical="center" wrapText="1"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1" fontId="11" fillId="2" borderId="4" xfId="0" applyNumberFormat="1" applyFont="1" applyFill="1" applyBorder="1" applyAlignment="1" applyProtection="1">
      <alignment horizontal="center" vertical="center" wrapText="1"/>
      <protection/>
    </xf>
    <xf numFmtId="165" fontId="11" fillId="2" borderId="4" xfId="0" applyNumberFormat="1" applyFont="1" applyFill="1" applyBorder="1" applyAlignment="1" applyProtection="1">
      <alignment horizontal="center" vertical="center" wrapText="1"/>
      <protection/>
    </xf>
    <xf numFmtId="165" fontId="11" fillId="2" borderId="22" xfId="0" applyNumberFormat="1" applyFont="1" applyFill="1" applyBorder="1" applyAlignment="1" applyProtection="1">
      <alignment horizontal="center" vertical="center" wrapText="1"/>
      <protection/>
    </xf>
    <xf numFmtId="165" fontId="11" fillId="2" borderId="19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11" fillId="2" borderId="36" xfId="0" applyFont="1" applyFill="1" applyBorder="1" applyAlignment="1" applyProtection="1">
      <alignment horizontal="center" wrapText="1"/>
      <protection/>
    </xf>
    <xf numFmtId="1" fontId="11" fillId="2" borderId="112" xfId="0" applyNumberFormat="1" applyFont="1" applyFill="1" applyBorder="1" applyAlignment="1" applyProtection="1">
      <alignment horizontal="center" vertical="center" wrapText="1"/>
      <protection/>
    </xf>
    <xf numFmtId="0" fontId="11" fillId="4" borderId="94" xfId="0" applyFont="1" applyFill="1" applyBorder="1" applyAlignment="1" applyProtection="1">
      <alignment horizontal="center" vertical="center" wrapText="1"/>
      <protection locked="0"/>
    </xf>
    <xf numFmtId="0" fontId="11" fillId="4" borderId="40" xfId="0" applyFont="1" applyFill="1" applyBorder="1" applyAlignment="1" applyProtection="1">
      <alignment horizontal="center" vertical="center" wrapText="1"/>
      <protection locked="0"/>
    </xf>
    <xf numFmtId="0" fontId="11" fillId="4" borderId="47" xfId="0" applyFont="1" applyFill="1" applyBorder="1" applyAlignment="1" applyProtection="1">
      <alignment horizontal="center" vertical="center" wrapText="1"/>
      <protection locked="0"/>
    </xf>
    <xf numFmtId="0" fontId="11" fillId="4" borderId="31" xfId="0" applyFont="1" applyFill="1" applyBorder="1" applyAlignment="1" applyProtection="1">
      <alignment horizontal="center" vertical="center" wrapText="1"/>
      <protection locked="0"/>
    </xf>
    <xf numFmtId="0" fontId="11" fillId="2" borderId="46" xfId="0" applyFont="1" applyFill="1" applyBorder="1" applyAlignment="1" applyProtection="1">
      <alignment horizontal="center" vertical="center" wrapText="1"/>
      <protection/>
    </xf>
    <xf numFmtId="0" fontId="11" fillId="2" borderId="113" xfId="0" applyFont="1" applyFill="1" applyBorder="1" applyAlignment="1" applyProtection="1">
      <alignment horizontal="center" vertical="center" wrapText="1"/>
      <protection/>
    </xf>
    <xf numFmtId="1" fontId="11" fillId="2" borderId="31" xfId="0" applyNumberFormat="1" applyFont="1" applyFill="1" applyBorder="1" applyAlignment="1" applyProtection="1">
      <alignment horizontal="center" vertical="center" wrapText="1"/>
      <protection/>
    </xf>
    <xf numFmtId="1" fontId="11" fillId="2" borderId="114" xfId="0" applyNumberFormat="1" applyFont="1" applyFill="1" applyBorder="1" applyAlignment="1" applyProtection="1">
      <alignment horizontal="center" vertical="center" wrapText="1"/>
      <protection/>
    </xf>
    <xf numFmtId="0" fontId="11" fillId="4" borderId="45" xfId="0" applyFont="1" applyFill="1" applyBorder="1" applyAlignment="1" applyProtection="1">
      <alignment horizontal="center" vertical="center" wrapText="1"/>
      <protection locked="0"/>
    </xf>
    <xf numFmtId="0" fontId="11" fillId="4" borderId="78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35" xfId="0" applyFont="1" applyFill="1" applyBorder="1" applyAlignment="1" applyProtection="1">
      <alignment horizontal="center" vertical="center" wrapText="1"/>
      <protection locked="0"/>
    </xf>
    <xf numFmtId="1" fontId="11" fillId="2" borderId="35" xfId="0" applyNumberFormat="1" applyFont="1" applyFill="1" applyBorder="1" applyAlignment="1" applyProtection="1">
      <alignment horizontal="center" vertical="center" wrapText="1"/>
      <protection/>
    </xf>
    <xf numFmtId="1" fontId="11" fillId="2" borderId="36" xfId="0" applyNumberFormat="1" applyFont="1" applyFill="1" applyBorder="1" applyAlignment="1" applyProtection="1">
      <alignment horizontal="center" vertical="center" wrapText="1"/>
      <protection/>
    </xf>
    <xf numFmtId="0" fontId="11" fillId="2" borderId="79" xfId="0" applyFont="1" applyFill="1" applyBorder="1" applyAlignment="1" applyProtection="1">
      <alignment horizontal="left" vertical="center" wrapText="1"/>
      <protection/>
    </xf>
    <xf numFmtId="0" fontId="11" fillId="2" borderId="112" xfId="0" applyFont="1" applyFill="1" applyBorder="1" applyAlignment="1" applyProtection="1">
      <alignment horizontal="left" vertical="center" wrapText="1"/>
      <protection/>
    </xf>
    <xf numFmtId="0" fontId="11" fillId="4" borderId="115" xfId="0" applyFont="1" applyFill="1" applyBorder="1" applyAlignment="1" applyProtection="1">
      <alignment horizontal="center" vertical="center" wrapText="1"/>
      <protection locked="0"/>
    </xf>
    <xf numFmtId="0" fontId="11" fillId="4" borderId="82" xfId="0" applyFont="1" applyFill="1" applyBorder="1" applyAlignment="1" applyProtection="1">
      <alignment horizontal="center" vertical="center" wrapText="1"/>
      <protection locked="0"/>
    </xf>
    <xf numFmtId="0" fontId="11" fillId="2" borderId="51" xfId="0" applyFont="1" applyFill="1" applyBorder="1" applyAlignment="1" applyProtection="1">
      <alignment horizontal="center" vertical="center" wrapText="1"/>
      <protection/>
    </xf>
    <xf numFmtId="0" fontId="11" fillId="2" borderId="35" xfId="0" applyFont="1" applyFill="1" applyBorder="1" applyAlignment="1" applyProtection="1">
      <alignment horizontal="center" vertical="center" wrapText="1"/>
      <protection/>
    </xf>
    <xf numFmtId="0" fontId="11" fillId="2" borderId="79" xfId="0" applyFont="1" applyFill="1" applyBorder="1" applyAlignment="1" applyProtection="1">
      <alignment horizontal="center" vertical="center" wrapText="1"/>
      <protection/>
    </xf>
    <xf numFmtId="9" fontId="11" fillId="2" borderId="46" xfId="19" applyFont="1" applyFill="1" applyBorder="1" applyAlignment="1" applyProtection="1">
      <alignment horizontal="center" vertical="center" wrapText="1"/>
      <protection/>
    </xf>
    <xf numFmtId="9" fontId="11" fillId="2" borderId="116" xfId="19" applyFont="1" applyFill="1" applyBorder="1" applyAlignment="1" applyProtection="1">
      <alignment horizontal="center" vertical="center" wrapText="1"/>
      <protection/>
    </xf>
    <xf numFmtId="0" fontId="11" fillId="2" borderId="36" xfId="0" applyFont="1" applyFill="1" applyBorder="1" applyAlignment="1" applyProtection="1">
      <alignment horizontal="center" vertical="center" wrapText="1"/>
      <protection/>
    </xf>
    <xf numFmtId="0" fontId="11" fillId="2" borderId="46" xfId="0" applyFont="1" applyFill="1" applyBorder="1" applyAlignment="1" applyProtection="1">
      <alignment horizontal="left" vertical="center" wrapText="1"/>
      <protection/>
    </xf>
    <xf numFmtId="0" fontId="11" fillId="2" borderId="113" xfId="0" applyFont="1" applyFill="1" applyBorder="1" applyAlignment="1" applyProtection="1">
      <alignment horizontal="left" vertical="center" wrapText="1"/>
      <protection/>
    </xf>
    <xf numFmtId="0" fontId="11" fillId="4" borderId="23" xfId="0" applyFont="1" applyFill="1" applyBorder="1" applyAlignment="1" applyProtection="1">
      <alignment horizontal="center" vertical="center" wrapText="1"/>
      <protection locked="0"/>
    </xf>
    <xf numFmtId="0" fontId="11" fillId="2" borderId="61" xfId="0" applyFont="1" applyFill="1" applyBorder="1" applyAlignment="1" applyProtection="1">
      <alignment horizontal="center" vertical="center" wrapText="1"/>
      <protection/>
    </xf>
    <xf numFmtId="0" fontId="11" fillId="4" borderId="42" xfId="0" applyFont="1" applyFill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 applyProtection="1">
      <alignment horizontal="center" vertical="center" wrapText="1"/>
      <protection locked="0"/>
    </xf>
    <xf numFmtId="0" fontId="11" fillId="4" borderId="51" xfId="0" applyFont="1" applyFill="1" applyBorder="1" applyAlignment="1" applyProtection="1">
      <alignment horizontal="center" vertical="center" wrapText="1"/>
      <protection locked="0"/>
    </xf>
    <xf numFmtId="0" fontId="11" fillId="4" borderId="25" xfId="0" applyFont="1" applyFill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  <protection/>
    </xf>
    <xf numFmtId="9" fontId="11" fillId="2" borderId="61" xfId="19" applyFont="1" applyFill="1" applyBorder="1" applyAlignment="1" applyProtection="1">
      <alignment horizontal="center" vertical="center" wrapText="1"/>
      <protection/>
    </xf>
    <xf numFmtId="1" fontId="11" fillId="2" borderId="34" xfId="0" applyNumberFormat="1" applyFont="1" applyFill="1" applyBorder="1" applyAlignment="1" applyProtection="1">
      <alignment horizontal="center" vertical="center" wrapText="1"/>
      <protection/>
    </xf>
    <xf numFmtId="0" fontId="11" fillId="2" borderId="69" xfId="0" applyFont="1" applyFill="1" applyBorder="1" applyAlignment="1" applyProtection="1">
      <alignment horizontal="center" vertical="center" wrapText="1"/>
      <protection/>
    </xf>
    <xf numFmtId="0" fontId="11" fillId="2" borderId="30" xfId="0" applyFont="1" applyFill="1" applyBorder="1" applyAlignment="1" applyProtection="1">
      <alignment horizontal="left" vertical="center" wrapText="1"/>
      <protection/>
    </xf>
    <xf numFmtId="0" fontId="11" fillId="2" borderId="61" xfId="0" applyFont="1" applyFill="1" applyBorder="1" applyAlignment="1" applyProtection="1">
      <alignment horizontal="left" vertical="center" wrapText="1"/>
      <protection/>
    </xf>
    <xf numFmtId="1" fontId="11" fillId="2" borderId="69" xfId="0" applyNumberFormat="1" applyFont="1" applyFill="1" applyBorder="1" applyAlignment="1" applyProtection="1">
      <alignment horizontal="center" vertical="center" wrapText="1"/>
      <protection/>
    </xf>
    <xf numFmtId="0" fontId="11" fillId="2" borderId="68" xfId="0" applyFont="1" applyFill="1" applyBorder="1" applyAlignment="1" applyProtection="1">
      <alignment horizontal="left" vertical="center" wrapText="1"/>
      <protection/>
    </xf>
    <xf numFmtId="0" fontId="11" fillId="4" borderId="117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/>
    </xf>
    <xf numFmtId="0" fontId="11" fillId="2" borderId="44" xfId="0" applyFont="1" applyFill="1" applyBorder="1" applyAlignment="1" applyProtection="1">
      <alignment horizontal="center" vertical="center" wrapText="1"/>
      <protection/>
    </xf>
    <xf numFmtId="0" fontId="11" fillId="4" borderId="118" xfId="0" applyFont="1" applyFill="1" applyBorder="1" applyAlignment="1" applyProtection="1">
      <alignment horizontal="center" vertical="center" wrapText="1"/>
      <protection locked="0"/>
    </xf>
    <xf numFmtId="0" fontId="11" fillId="2" borderId="116" xfId="0" applyFont="1" applyFill="1" applyBorder="1" applyAlignment="1" applyProtection="1">
      <alignment horizontal="center" vertical="center" wrapText="1"/>
      <protection/>
    </xf>
    <xf numFmtId="1" fontId="11" fillId="2" borderId="119" xfId="0" applyNumberFormat="1" applyFont="1" applyFill="1" applyBorder="1" applyAlignment="1" applyProtection="1">
      <alignment horizontal="center" vertical="center" wrapText="1"/>
      <protection/>
    </xf>
    <xf numFmtId="1" fontId="11" fillId="2" borderId="79" xfId="0" applyNumberFormat="1" applyFont="1" applyFill="1" applyBorder="1" applyAlignment="1" applyProtection="1">
      <alignment horizontal="center" vertical="center" wrapText="1"/>
      <protection/>
    </xf>
    <xf numFmtId="1" fontId="11" fillId="2" borderId="39" xfId="0" applyNumberFormat="1" applyFont="1" applyFill="1" applyBorder="1" applyAlignment="1" applyProtection="1">
      <alignment horizontal="center" vertical="center" wrapText="1"/>
      <protection/>
    </xf>
    <xf numFmtId="0" fontId="11" fillId="4" borderId="120" xfId="0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left" vertical="center" wrapText="1"/>
      <protection/>
    </xf>
    <xf numFmtId="0" fontId="13" fillId="4" borderId="2" xfId="0" applyFont="1" applyFill="1" applyBorder="1" applyAlignment="1" applyProtection="1">
      <alignment horizontal="left" vertical="center" wrapText="1"/>
      <protection/>
    </xf>
    <xf numFmtId="0" fontId="13" fillId="4" borderId="3" xfId="0" applyFont="1" applyFill="1" applyBorder="1" applyAlignment="1" applyProtection="1">
      <alignment horizontal="left" vertical="center" wrapText="1"/>
      <protection/>
    </xf>
    <xf numFmtId="0" fontId="11" fillId="4" borderId="121" xfId="0" applyFont="1" applyFill="1" applyBorder="1" applyAlignment="1" applyProtection="1">
      <alignment horizontal="center" vertical="center" wrapText="1"/>
      <protection locked="0"/>
    </xf>
    <xf numFmtId="0" fontId="11" fillId="4" borderId="122" xfId="0" applyFont="1" applyFill="1" applyBorder="1" applyAlignment="1" applyProtection="1">
      <alignment horizontal="center" vertical="center" wrapText="1"/>
      <protection locked="0"/>
    </xf>
    <xf numFmtId="0" fontId="11" fillId="2" borderId="34" xfId="0" applyFont="1" applyFill="1" applyBorder="1" applyAlignment="1" applyProtection="1">
      <alignment horizontal="center" vertical="center" wrapText="1"/>
      <protection/>
    </xf>
    <xf numFmtId="0" fontId="11" fillId="4" borderId="46" xfId="0" applyFont="1" applyFill="1" applyBorder="1" applyAlignment="1" applyProtection="1">
      <alignment horizontal="center" vertical="center" wrapText="1"/>
      <protection locked="0"/>
    </xf>
    <xf numFmtId="1" fontId="11" fillId="2" borderId="13" xfId="0" applyNumberFormat="1" applyFont="1" applyFill="1" applyBorder="1" applyAlignment="1" applyProtection="1">
      <alignment horizontal="center" vertical="center" wrapText="1"/>
      <protection/>
    </xf>
    <xf numFmtId="0" fontId="11" fillId="2" borderId="123" xfId="0" applyFont="1" applyFill="1" applyBorder="1" applyAlignment="1" applyProtection="1">
      <alignment horizontal="center" vertical="center" wrapText="1"/>
      <protection/>
    </xf>
    <xf numFmtId="1" fontId="11" fillId="2" borderId="45" xfId="0" applyNumberFormat="1" applyFont="1" applyFill="1" applyBorder="1" applyAlignment="1" applyProtection="1">
      <alignment horizontal="center" vertical="center" wrapText="1"/>
      <protection/>
    </xf>
    <xf numFmtId="1" fontId="11" fillId="2" borderId="78" xfId="0" applyNumberFormat="1" applyFont="1" applyFill="1" applyBorder="1" applyAlignment="1" applyProtection="1">
      <alignment horizontal="center" vertical="center" wrapText="1"/>
      <protection/>
    </xf>
    <xf numFmtId="165" fontId="11" fillId="2" borderId="35" xfId="0" applyNumberFormat="1" applyFont="1" applyFill="1" applyBorder="1" applyAlignment="1" applyProtection="1">
      <alignment horizontal="center" vertical="center" wrapText="1"/>
      <protection/>
    </xf>
    <xf numFmtId="165" fontId="11" fillId="2" borderId="69" xfId="0" applyNumberFormat="1" applyFont="1" applyFill="1" applyBorder="1" applyAlignment="1" applyProtection="1">
      <alignment horizontal="center" vertical="center" wrapText="1"/>
      <protection/>
    </xf>
    <xf numFmtId="0" fontId="11" fillId="4" borderId="124" xfId="0" applyFont="1" applyFill="1" applyBorder="1" applyAlignment="1" applyProtection="1">
      <alignment horizontal="center" vertical="center" wrapText="1"/>
      <protection locked="0"/>
    </xf>
    <xf numFmtId="165" fontId="11" fillId="2" borderId="36" xfId="0" applyNumberFormat="1" applyFont="1" applyFill="1" applyBorder="1" applyAlignment="1" applyProtection="1">
      <alignment horizontal="center" vertical="center" wrapText="1"/>
      <protection/>
    </xf>
    <xf numFmtId="9" fontId="11" fillId="2" borderId="30" xfId="19" applyFont="1" applyFill="1" applyBorder="1" applyAlignment="1" applyProtection="1">
      <alignment horizontal="center" vertical="center" wrapText="1"/>
      <protection/>
    </xf>
    <xf numFmtId="9" fontId="11" fillId="2" borderId="113" xfId="19" applyFont="1" applyFill="1" applyBorder="1" applyAlignment="1" applyProtection="1">
      <alignment horizontal="center" vertical="center" wrapText="1"/>
      <protection/>
    </xf>
    <xf numFmtId="1" fontId="11" fillId="2" borderId="123" xfId="0" applyNumberFormat="1" applyFont="1" applyFill="1" applyBorder="1" applyAlignment="1" applyProtection="1">
      <alignment horizontal="center" vertical="center" wrapText="1"/>
      <protection/>
    </xf>
    <xf numFmtId="0" fontId="11" fillId="2" borderId="5" xfId="0" applyFont="1" applyFill="1" applyBorder="1" applyAlignment="1" applyProtection="1">
      <alignment horizontal="center" vertical="center" wrapText="1"/>
      <protection/>
    </xf>
    <xf numFmtId="0" fontId="11" fillId="4" borderId="125" xfId="0" applyFont="1" applyFill="1" applyBorder="1" applyAlignment="1" applyProtection="1">
      <alignment horizontal="center" vertical="center" wrapText="1"/>
      <protection locked="0"/>
    </xf>
    <xf numFmtId="0" fontId="11" fillId="4" borderId="98" xfId="0" applyFont="1" applyFill="1" applyBorder="1" applyAlignment="1" applyProtection="1">
      <alignment horizontal="center" vertical="center" wrapText="1"/>
      <protection locked="0"/>
    </xf>
    <xf numFmtId="0" fontId="11" fillId="4" borderId="63" xfId="0" applyFont="1" applyFill="1" applyBorder="1" applyAlignment="1" applyProtection="1">
      <alignment horizontal="center" vertical="center" wrapText="1"/>
      <protection locked="0"/>
    </xf>
    <xf numFmtId="0" fontId="11" fillId="2" borderId="126" xfId="0" applyFont="1" applyFill="1" applyBorder="1" applyAlignment="1" applyProtection="1">
      <alignment horizontal="center" vertical="center" wrapText="1"/>
      <protection/>
    </xf>
    <xf numFmtId="0" fontId="11" fillId="4" borderId="127" xfId="0" applyFont="1" applyFill="1" applyBorder="1" applyAlignment="1" applyProtection="1">
      <alignment horizontal="center" vertical="center" wrapText="1"/>
      <protection locked="0"/>
    </xf>
    <xf numFmtId="0" fontId="11" fillId="4" borderId="12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/>
      <protection/>
    </xf>
    <xf numFmtId="0" fontId="17" fillId="4" borderId="95" xfId="0" applyFont="1" applyFill="1" applyBorder="1" applyAlignment="1" applyProtection="1">
      <alignment horizontal="center" vertical="center" wrapText="1"/>
      <protection/>
    </xf>
    <xf numFmtId="0" fontId="17" fillId="4" borderId="129" xfId="0" applyFont="1" applyFill="1" applyBorder="1" applyAlignment="1" applyProtection="1">
      <alignment horizontal="center" vertical="center" wrapText="1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7" fillId="4" borderId="44" xfId="0" applyFont="1" applyFill="1" applyBorder="1" applyAlignment="1" applyProtection="1">
      <alignment horizontal="center" vertical="center" wrapText="1"/>
      <protection/>
    </xf>
    <xf numFmtId="0" fontId="17" fillId="4" borderId="35" xfId="0" applyFont="1" applyFill="1" applyBorder="1" applyAlignment="1" applyProtection="1">
      <alignment horizontal="center" vertical="center" wrapText="1"/>
      <protection/>
    </xf>
    <xf numFmtId="0" fontId="17" fillId="4" borderId="79" xfId="0" applyFont="1" applyFill="1" applyBorder="1" applyAlignment="1" applyProtection="1">
      <alignment horizontal="center" vertical="center" wrapText="1"/>
      <protection/>
    </xf>
    <xf numFmtId="0" fontId="17" fillId="4" borderId="80" xfId="0" applyFont="1" applyFill="1" applyBorder="1" applyAlignment="1" applyProtection="1">
      <alignment horizontal="center" vertical="center" wrapText="1"/>
      <protection/>
    </xf>
    <xf numFmtId="0" fontId="17" fillId="4" borderId="96" xfId="0" applyFont="1" applyFill="1" applyBorder="1" applyAlignment="1" applyProtection="1">
      <alignment horizontal="center" vertical="center" wrapText="1"/>
      <protection/>
    </xf>
    <xf numFmtId="0" fontId="11" fillId="4" borderId="71" xfId="0" applyFont="1" applyFill="1" applyBorder="1" applyAlignment="1" applyProtection="1">
      <alignment horizontal="center" vertical="center" wrapText="1"/>
      <protection/>
    </xf>
    <xf numFmtId="0" fontId="11" fillId="4" borderId="32" xfId="0" applyFont="1" applyFill="1" applyBorder="1" applyAlignment="1" applyProtection="1">
      <alignment horizontal="center" vertical="center" wrapText="1"/>
      <protection/>
    </xf>
    <xf numFmtId="0" fontId="11" fillId="4" borderId="51" xfId="0" applyFont="1" applyFill="1" applyBorder="1" applyAlignment="1" applyProtection="1">
      <alignment horizontal="center" vertical="center" wrapText="1"/>
      <protection/>
    </xf>
    <xf numFmtId="0" fontId="11" fillId="4" borderId="35" xfId="0" applyFont="1" applyFill="1" applyBorder="1" applyAlignment="1" applyProtection="1">
      <alignment horizontal="center" vertical="center" wrapText="1"/>
      <protection/>
    </xf>
    <xf numFmtId="0" fontId="11" fillId="4" borderId="45" xfId="0" applyFont="1" applyFill="1" applyBorder="1" applyAlignment="1" applyProtection="1">
      <alignment horizontal="center" vertical="center" wrapText="1"/>
      <protection/>
    </xf>
    <xf numFmtId="0" fontId="11" fillId="4" borderId="78" xfId="0" applyFont="1" applyFill="1" applyBorder="1" applyAlignment="1" applyProtection="1">
      <alignment horizontal="center" vertical="center" wrapText="1"/>
      <protection/>
    </xf>
    <xf numFmtId="0" fontId="11" fillId="4" borderId="53" xfId="0" applyFont="1" applyFill="1" applyBorder="1" applyAlignment="1" applyProtection="1">
      <alignment horizontal="center" vertical="center" wrapText="1"/>
      <protection/>
    </xf>
    <xf numFmtId="0" fontId="11" fillId="4" borderId="79" xfId="0" applyFont="1" applyFill="1" applyBorder="1" applyAlignment="1" applyProtection="1">
      <alignment horizontal="center" vertical="center" wrapText="1"/>
      <protection/>
    </xf>
    <xf numFmtId="0" fontId="11" fillId="4" borderId="130" xfId="0" applyFont="1" applyFill="1" applyBorder="1" applyAlignment="1" applyProtection="1">
      <alignment horizontal="center" vertical="center" wrapText="1"/>
      <protection/>
    </xf>
    <xf numFmtId="0" fontId="11" fillId="4" borderId="65" xfId="0" applyFont="1" applyFill="1" applyBorder="1" applyAlignment="1" applyProtection="1">
      <alignment horizontal="center" vertical="center" wrapText="1"/>
      <protection/>
    </xf>
    <xf numFmtId="0" fontId="11" fillId="2" borderId="51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left" vertical="center" wrapText="1"/>
    </xf>
    <xf numFmtId="0" fontId="11" fillId="2" borderId="64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79" xfId="0" applyFont="1" applyFill="1" applyBorder="1" applyAlignment="1">
      <alignment horizontal="center" vertical="center" wrapText="1"/>
    </xf>
    <xf numFmtId="0" fontId="11" fillId="2" borderId="79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left" vertical="center" wrapText="1"/>
    </xf>
  </cellXfs>
  <cellStyles count="9">
    <cellStyle name="Normal" xfId="0"/>
    <cellStyle name="ColLevel_0" xfId="2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CRIANÇAS CADASTRADAS NA PUERICULTURA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Monitoramento!$I$125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Monitoramento!$K$125:$V$125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Monitoramento!$I$126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Monitoramento!$K$126:$V$126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889234"/>
        <c:axId val="31676515"/>
      </c:lineChart>
      <c:catAx>
        <c:axId val="25889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76515"/>
        <c:crosses val="autoZero"/>
        <c:auto val="1"/>
        <c:lblOffset val="100"/>
        <c:noMultiLvlLbl val="0"/>
      </c:catAx>
      <c:valAx>
        <c:axId val="31676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CRIANÇAS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89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MULHERES QUE FIZERAM PAPANICOLAU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6125"/>
          <c:w val="0.7117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Monitoramento!$I$152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Monitoramento!$K$152:$V$152</c:f>
              <c:numCache>
                <c:ptCount val="12"/>
                <c:pt idx="0">
                  <c:v>23.5532</c:v>
                </c:pt>
                <c:pt idx="1">
                  <c:v>47.1064</c:v>
                </c:pt>
                <c:pt idx="2">
                  <c:v>70.6596</c:v>
                </c:pt>
                <c:pt idx="3">
                  <c:v>94.2128</c:v>
                </c:pt>
                <c:pt idx="4">
                  <c:v>117.766</c:v>
                </c:pt>
                <c:pt idx="5">
                  <c:v>141.3192</c:v>
                </c:pt>
                <c:pt idx="6">
                  <c:v>164.8724</c:v>
                </c:pt>
                <c:pt idx="7">
                  <c:v>188.4256</c:v>
                </c:pt>
                <c:pt idx="8">
                  <c:v>211.9788</c:v>
                </c:pt>
                <c:pt idx="9">
                  <c:v>235.532</c:v>
                </c:pt>
                <c:pt idx="10">
                  <c:v>259.0852</c:v>
                </c:pt>
                <c:pt idx="11">
                  <c:v>282.6384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Monitoramento!$I$153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Monitoramento!$K$153:$V$153</c:f>
              <c:numCache>
                <c:ptCount val="12"/>
                <c:pt idx="0">
                  <c:v>24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  <c:pt idx="4">
                  <c:v>120</c:v>
                </c:pt>
                <c:pt idx="5">
                  <c:v>144</c:v>
                </c:pt>
                <c:pt idx="6">
                  <c:v>168</c:v>
                </c:pt>
                <c:pt idx="7">
                  <c:v>192</c:v>
                </c:pt>
                <c:pt idx="8">
                  <c:v>216</c:v>
                </c:pt>
                <c:pt idx="9">
                  <c:v>240</c:v>
                </c:pt>
                <c:pt idx="10">
                  <c:v>264</c:v>
                </c:pt>
                <c:pt idx="11">
                  <c:v>283</c:v>
                </c:pt>
              </c:numCache>
            </c:numRef>
          </c:val>
          <c:smooth val="0"/>
        </c:ser>
        <c:marker val="1"/>
        <c:axId val="58698060"/>
        <c:axId val="58520493"/>
      </c:lineChart>
      <c:catAx>
        <c:axId val="58698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20493"/>
        <c:crosses val="autoZero"/>
        <c:auto val="1"/>
        <c:lblOffset val="100"/>
        <c:noMultiLvlLbl val="0"/>
      </c:catAx>
      <c:valAx>
        <c:axId val="5852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MULHERES DE 25 A 59 ANOS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98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MULHERES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QUE FIZERAM MAMOGRAFIA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Monitoramento!$I$155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Monitoramento!$K$155:$V$155</c:f>
              <c:numCache>
                <c:ptCount val="12"/>
                <c:pt idx="0">
                  <c:v>19.083333333333332</c:v>
                </c:pt>
                <c:pt idx="1">
                  <c:v>38.166666666666664</c:v>
                </c:pt>
                <c:pt idx="2">
                  <c:v>57.25</c:v>
                </c:pt>
                <c:pt idx="3">
                  <c:v>76.33333333333333</c:v>
                </c:pt>
                <c:pt idx="4">
                  <c:v>95.41666666666666</c:v>
                </c:pt>
                <c:pt idx="5">
                  <c:v>114.5</c:v>
                </c:pt>
                <c:pt idx="6">
                  <c:v>133.58333333333331</c:v>
                </c:pt>
                <c:pt idx="7">
                  <c:v>152.66666666666666</c:v>
                </c:pt>
                <c:pt idx="8">
                  <c:v>171.75</c:v>
                </c:pt>
                <c:pt idx="9">
                  <c:v>190.83333333333331</c:v>
                </c:pt>
                <c:pt idx="10">
                  <c:v>209.91666666666666</c:v>
                </c:pt>
                <c:pt idx="11">
                  <c:v>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Monitoramento!$I$156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Monitoramento!$K$156:$V$156</c:f>
              <c:numCache>
                <c:ptCount val="12"/>
                <c:pt idx="0">
                  <c:v>19</c:v>
                </c:pt>
                <c:pt idx="1">
                  <c:v>38</c:v>
                </c:pt>
                <c:pt idx="2">
                  <c:v>57</c:v>
                </c:pt>
                <c:pt idx="3">
                  <c:v>76</c:v>
                </c:pt>
                <c:pt idx="4">
                  <c:v>95</c:v>
                </c:pt>
                <c:pt idx="5">
                  <c:v>114</c:v>
                </c:pt>
                <c:pt idx="6">
                  <c:v>133</c:v>
                </c:pt>
                <c:pt idx="7">
                  <c:v>152</c:v>
                </c:pt>
                <c:pt idx="8">
                  <c:v>171</c:v>
                </c:pt>
                <c:pt idx="9">
                  <c:v>190</c:v>
                </c:pt>
                <c:pt idx="10">
                  <c:v>209</c:v>
                </c:pt>
                <c:pt idx="11">
                  <c:v>229</c:v>
                </c:pt>
              </c:numCache>
            </c:numRef>
          </c:val>
          <c:smooth val="0"/>
        </c:ser>
        <c:marker val="1"/>
        <c:axId val="56922390"/>
        <c:axId val="42539463"/>
      </c:lineChart>
      <c:catAx>
        <c:axId val="56922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39463"/>
        <c:crosses val="autoZero"/>
        <c:auto val="1"/>
        <c:lblOffset val="100"/>
        <c:noMultiLvlLbl val="0"/>
      </c:catAx>
      <c:valAx>
        <c:axId val="42539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MULHERES DE 50 A 69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22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GESTANTES DE RISCO HABITUAL CADASTRADAS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Monitoramento!$I$158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Monitoramento!$K$158:$V$158</c:f>
              <c:numCache>
                <c:ptCount val="12"/>
                <c:pt idx="0">
                  <c:v>3.817916666666667</c:v>
                </c:pt>
                <c:pt idx="1">
                  <c:v>7.635833333333334</c:v>
                </c:pt>
                <c:pt idx="2">
                  <c:v>11.453750000000001</c:v>
                </c:pt>
                <c:pt idx="3">
                  <c:v>15.271666666666668</c:v>
                </c:pt>
                <c:pt idx="4">
                  <c:v>19.089583333333337</c:v>
                </c:pt>
                <c:pt idx="5">
                  <c:v>22.907500000000002</c:v>
                </c:pt>
                <c:pt idx="6">
                  <c:v>26.725416666666668</c:v>
                </c:pt>
                <c:pt idx="7">
                  <c:v>30.543333333333337</c:v>
                </c:pt>
                <c:pt idx="8">
                  <c:v>34.361250000000005</c:v>
                </c:pt>
                <c:pt idx="9">
                  <c:v>38.179166666666674</c:v>
                </c:pt>
                <c:pt idx="10">
                  <c:v>41.997083333333336</c:v>
                </c:pt>
                <c:pt idx="11">
                  <c:v>45.815000000000005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Monitoramento!$I$159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Monitoramento!$K$159:$V$159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44</c:v>
                </c:pt>
                <c:pt idx="11">
                  <c:v>46</c:v>
                </c:pt>
              </c:numCache>
            </c:numRef>
          </c:val>
          <c:smooth val="0"/>
        </c:ser>
        <c:marker val="1"/>
        <c:axId val="47310848"/>
        <c:axId val="23144449"/>
      </c:lineChart>
      <c:catAx>
        <c:axId val="47310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44449"/>
        <c:crosses val="autoZero"/>
        <c:auto val="1"/>
        <c:lblOffset val="100"/>
        <c:noMultiLvlLbl val="0"/>
      </c:catAx>
      <c:valAx>
        <c:axId val="23144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GESTANTES DE RISCO HABITUAL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10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GESTANTES DE RISCO HABITUAL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Monitoramento!$I$161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Monitoramento!$K$161:$V$161</c:f>
              <c:numCache>
                <c:ptCount val="12"/>
                <c:pt idx="0">
                  <c:v>22.907500000000002</c:v>
                </c:pt>
                <c:pt idx="1">
                  <c:v>45.815000000000005</c:v>
                </c:pt>
                <c:pt idx="2">
                  <c:v>68.72250000000001</c:v>
                </c:pt>
                <c:pt idx="3">
                  <c:v>91.63000000000001</c:v>
                </c:pt>
                <c:pt idx="4">
                  <c:v>114.53750000000001</c:v>
                </c:pt>
                <c:pt idx="5">
                  <c:v>137.44500000000002</c:v>
                </c:pt>
                <c:pt idx="6">
                  <c:v>160.35250000000002</c:v>
                </c:pt>
                <c:pt idx="7">
                  <c:v>183.26000000000002</c:v>
                </c:pt>
                <c:pt idx="8">
                  <c:v>206.16750000000002</c:v>
                </c:pt>
                <c:pt idx="9">
                  <c:v>229.07500000000002</c:v>
                </c:pt>
                <c:pt idx="10">
                  <c:v>251.98250000000002</c:v>
                </c:pt>
                <c:pt idx="11">
                  <c:v>274.89000000000004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Monitoramento!$I$162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Monitoramento!$K$162:$V$162</c:f>
              <c:numCache>
                <c:ptCount val="12"/>
                <c:pt idx="0">
                  <c:v>22</c:v>
                </c:pt>
                <c:pt idx="1">
                  <c:v>45</c:v>
                </c:pt>
                <c:pt idx="2">
                  <c:v>68</c:v>
                </c:pt>
                <c:pt idx="3">
                  <c:v>91</c:v>
                </c:pt>
                <c:pt idx="4">
                  <c:v>114</c:v>
                </c:pt>
                <c:pt idx="5">
                  <c:v>137</c:v>
                </c:pt>
                <c:pt idx="6">
                  <c:v>160</c:v>
                </c:pt>
                <c:pt idx="7">
                  <c:v>183</c:v>
                </c:pt>
                <c:pt idx="8">
                  <c:v>206</c:v>
                </c:pt>
                <c:pt idx="9">
                  <c:v>229</c:v>
                </c:pt>
                <c:pt idx="10">
                  <c:v>252</c:v>
                </c:pt>
                <c:pt idx="11">
                  <c:v>275</c:v>
                </c:pt>
              </c:numCache>
            </c:numRef>
          </c:val>
          <c:smooth val="0"/>
        </c:ser>
        <c:marker val="1"/>
        <c:axId val="6973450"/>
        <c:axId val="62761051"/>
      </c:lineChart>
      <c:catAx>
        <c:axId val="6973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61051"/>
        <c:crosses val="autoZero"/>
        <c:auto val="1"/>
        <c:lblOffset val="100"/>
        <c:noMultiLvlLbl val="0"/>
      </c:catAx>
      <c:valAx>
        <c:axId val="62761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73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GESTANTES DE ALTO RISCO CADASTRADAS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Monitoramento!$I$164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Monitoramento!$K$164:$V$164</c:f>
              <c:numCache>
                <c:ptCount val="12"/>
                <c:pt idx="0">
                  <c:v>0.6737500000000001</c:v>
                </c:pt>
                <c:pt idx="1">
                  <c:v>1.3475000000000001</c:v>
                </c:pt>
                <c:pt idx="2">
                  <c:v>2.02125</c:v>
                </c:pt>
                <c:pt idx="3">
                  <c:v>2.6950000000000003</c:v>
                </c:pt>
                <c:pt idx="4">
                  <c:v>3.3687500000000004</c:v>
                </c:pt>
                <c:pt idx="5">
                  <c:v>4.0425</c:v>
                </c:pt>
                <c:pt idx="6">
                  <c:v>4.7162500000000005</c:v>
                </c:pt>
                <c:pt idx="7">
                  <c:v>5.390000000000001</c:v>
                </c:pt>
                <c:pt idx="8">
                  <c:v>6.063750000000001</c:v>
                </c:pt>
                <c:pt idx="9">
                  <c:v>6.737500000000001</c:v>
                </c:pt>
                <c:pt idx="10">
                  <c:v>7.411250000000001</c:v>
                </c:pt>
                <c:pt idx="11">
                  <c:v>8.085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Monitoramento!$I$165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Monitoramento!$K$165:$V$165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</c:ser>
        <c:marker val="1"/>
        <c:axId val="27978548"/>
        <c:axId val="50480341"/>
      </c:lineChart>
      <c:catAx>
        <c:axId val="27978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80341"/>
        <c:crosses val="autoZero"/>
        <c:auto val="1"/>
        <c:lblOffset val="100"/>
        <c:noMultiLvlLbl val="0"/>
      </c:catAx>
      <c:valAx>
        <c:axId val="5048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GESTANTES DE ALTO RISCO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78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GESTANTES DE ALTO RISCO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Monitoramento!$I$167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Monitoramento!$K$167:$V$167</c:f>
              <c:numCache>
                <c:ptCount val="12"/>
                <c:pt idx="0">
                  <c:v>4.0425</c:v>
                </c:pt>
                <c:pt idx="1">
                  <c:v>8.085</c:v>
                </c:pt>
                <c:pt idx="2">
                  <c:v>12.127500000000001</c:v>
                </c:pt>
                <c:pt idx="3">
                  <c:v>16.17</c:v>
                </c:pt>
                <c:pt idx="4">
                  <c:v>20.212500000000002</c:v>
                </c:pt>
                <c:pt idx="5">
                  <c:v>24.255000000000003</c:v>
                </c:pt>
                <c:pt idx="6">
                  <c:v>28.297500000000003</c:v>
                </c:pt>
                <c:pt idx="7">
                  <c:v>32.34</c:v>
                </c:pt>
                <c:pt idx="8">
                  <c:v>36.38250000000001</c:v>
                </c:pt>
                <c:pt idx="9">
                  <c:v>40.425000000000004</c:v>
                </c:pt>
                <c:pt idx="10">
                  <c:v>44.4675</c:v>
                </c:pt>
                <c:pt idx="11">
                  <c:v>48.510000000000005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Monitoramento!$I$168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Monitoramento!$K$168:$V$168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44</c:v>
                </c:pt>
                <c:pt idx="11">
                  <c:v>49</c:v>
                </c:pt>
              </c:numCache>
            </c:numRef>
          </c:val>
          <c:smooth val="0"/>
        </c:ser>
        <c:marker val="1"/>
        <c:axId val="51669886"/>
        <c:axId val="62375791"/>
      </c:lineChart>
      <c:catAx>
        <c:axId val="51669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75791"/>
        <c:crosses val="autoZero"/>
        <c:auto val="1"/>
        <c:lblOffset val="100"/>
        <c:noMultiLvlLbl val="0"/>
      </c:catAx>
      <c:valAx>
        <c:axId val="62375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69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IDOSOS DE RISCO HABITUAL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Monitoramento!$I$170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Monitoramento!$K$170:$V$170</c:f>
              <c:numCache>
                <c:ptCount val="12"/>
                <c:pt idx="0">
                  <c:v>15.866666666666667</c:v>
                </c:pt>
                <c:pt idx="1">
                  <c:v>31.733333333333334</c:v>
                </c:pt>
                <c:pt idx="2">
                  <c:v>47.6</c:v>
                </c:pt>
                <c:pt idx="3">
                  <c:v>63.46666666666667</c:v>
                </c:pt>
                <c:pt idx="4">
                  <c:v>79.33333333333334</c:v>
                </c:pt>
                <c:pt idx="5">
                  <c:v>95.2</c:v>
                </c:pt>
                <c:pt idx="6">
                  <c:v>111.06666666666666</c:v>
                </c:pt>
                <c:pt idx="7">
                  <c:v>126.93333333333334</c:v>
                </c:pt>
                <c:pt idx="8">
                  <c:v>142.8</c:v>
                </c:pt>
                <c:pt idx="9">
                  <c:v>158.66666666666669</c:v>
                </c:pt>
                <c:pt idx="10">
                  <c:v>174.53333333333333</c:v>
                </c:pt>
                <c:pt idx="11">
                  <c:v>190.4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Monitoramento!$I$171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Monitoramento!$K$171:$V$171</c:f>
              <c:numCache>
                <c:ptCount val="12"/>
                <c:pt idx="0">
                  <c:v>16</c:v>
                </c:pt>
                <c:pt idx="1">
                  <c:v>32</c:v>
                </c:pt>
                <c:pt idx="2">
                  <c:v>48</c:v>
                </c:pt>
                <c:pt idx="3">
                  <c:v>64</c:v>
                </c:pt>
                <c:pt idx="4">
                  <c:v>80</c:v>
                </c:pt>
                <c:pt idx="5">
                  <c:v>96</c:v>
                </c:pt>
                <c:pt idx="6">
                  <c:v>112</c:v>
                </c:pt>
                <c:pt idx="7">
                  <c:v>128</c:v>
                </c:pt>
                <c:pt idx="8">
                  <c:v>144</c:v>
                </c:pt>
                <c:pt idx="9">
                  <c:v>160</c:v>
                </c:pt>
                <c:pt idx="10">
                  <c:v>176</c:v>
                </c:pt>
                <c:pt idx="11">
                  <c:v>190</c:v>
                </c:pt>
              </c:numCache>
            </c:numRef>
          </c:val>
          <c:smooth val="0"/>
        </c:ser>
        <c:marker val="1"/>
        <c:axId val="24511208"/>
        <c:axId val="19274281"/>
      </c:lineChart>
      <c:catAx>
        <c:axId val="2451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74281"/>
        <c:crosses val="autoZero"/>
        <c:auto val="1"/>
        <c:lblOffset val="100"/>
        <c:noMultiLvlLbl val="0"/>
      </c:catAx>
      <c:valAx>
        <c:axId val="19274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IDOSOS DE RISCO HABITUAL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11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IDOSOS DE RISCO HABITUAL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Monitoramento!$I$173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Monitoramento!$K$173:$V$173</c:f>
              <c:numCache>
                <c:ptCount val="12"/>
                <c:pt idx="0">
                  <c:v>17.30909090909091</c:v>
                </c:pt>
                <c:pt idx="1">
                  <c:v>34.61818181818182</c:v>
                </c:pt>
                <c:pt idx="2">
                  <c:v>51.92727272727272</c:v>
                </c:pt>
                <c:pt idx="3">
                  <c:v>69.23636363636363</c:v>
                </c:pt>
                <c:pt idx="4">
                  <c:v>86.54545454545455</c:v>
                </c:pt>
                <c:pt idx="5">
                  <c:v>103.85454545454544</c:v>
                </c:pt>
                <c:pt idx="6">
                  <c:v>121.16363636363636</c:v>
                </c:pt>
                <c:pt idx="7">
                  <c:v>138.47272727272727</c:v>
                </c:pt>
                <c:pt idx="8">
                  <c:v>155.78181818181818</c:v>
                </c:pt>
                <c:pt idx="9">
                  <c:v>173.0909090909091</c:v>
                </c:pt>
                <c:pt idx="10">
                  <c:v>190.4</c:v>
                </c:pt>
                <c:pt idx="11">
                  <c:v>190.4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Monitoramento!$I$174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Monitoramento!$K$174:$V$174</c:f>
              <c:numCache>
                <c:ptCount val="12"/>
                <c:pt idx="0">
                  <c:v>16</c:v>
                </c:pt>
                <c:pt idx="1">
                  <c:v>32</c:v>
                </c:pt>
                <c:pt idx="2">
                  <c:v>48</c:v>
                </c:pt>
                <c:pt idx="3">
                  <c:v>64</c:v>
                </c:pt>
                <c:pt idx="4">
                  <c:v>80</c:v>
                </c:pt>
                <c:pt idx="5">
                  <c:v>96</c:v>
                </c:pt>
                <c:pt idx="6">
                  <c:v>112</c:v>
                </c:pt>
                <c:pt idx="7">
                  <c:v>128</c:v>
                </c:pt>
                <c:pt idx="8">
                  <c:v>144</c:v>
                </c:pt>
                <c:pt idx="9">
                  <c:v>160</c:v>
                </c:pt>
                <c:pt idx="10">
                  <c:v>176</c:v>
                </c:pt>
                <c:pt idx="11">
                  <c:v>190</c:v>
                </c:pt>
              </c:numCache>
            </c:numRef>
          </c:val>
          <c:smooth val="0"/>
        </c:ser>
        <c:marker val="1"/>
        <c:axId val="39250802"/>
        <c:axId val="17712899"/>
      </c:lineChart>
      <c:catAx>
        <c:axId val="3925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12899"/>
        <c:crosses val="autoZero"/>
        <c:auto val="1"/>
        <c:lblOffset val="100"/>
        <c:noMultiLvlLbl val="0"/>
      </c:catAx>
      <c:valAx>
        <c:axId val="17712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50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IDOSOS DE ALTO RISCO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Monitoramento!$I$176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Monitoramento!$K$176:$V$176</c:f>
              <c:numCache>
                <c:ptCount val="12"/>
                <c:pt idx="0">
                  <c:v>5.966666666666666</c:v>
                </c:pt>
                <c:pt idx="1">
                  <c:v>11.933333333333332</c:v>
                </c:pt>
                <c:pt idx="2">
                  <c:v>17.9</c:v>
                </c:pt>
                <c:pt idx="3">
                  <c:v>23.866666666666664</c:v>
                </c:pt>
                <c:pt idx="4">
                  <c:v>29.83333333333333</c:v>
                </c:pt>
                <c:pt idx="5">
                  <c:v>35.8</c:v>
                </c:pt>
                <c:pt idx="6">
                  <c:v>41.76666666666666</c:v>
                </c:pt>
                <c:pt idx="7">
                  <c:v>47.73333333333333</c:v>
                </c:pt>
                <c:pt idx="8">
                  <c:v>53.699999999999996</c:v>
                </c:pt>
                <c:pt idx="9">
                  <c:v>59.66666666666666</c:v>
                </c:pt>
                <c:pt idx="10">
                  <c:v>65.63333333333333</c:v>
                </c:pt>
                <c:pt idx="11">
                  <c:v>71.6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Monitoramento!$I$177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Monitoramento!$K$177:$V$177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60</c:v>
                </c:pt>
                <c:pt idx="10">
                  <c:v>66</c:v>
                </c:pt>
                <c:pt idx="11">
                  <c:v>72</c:v>
                </c:pt>
              </c:numCache>
            </c:numRef>
          </c:val>
          <c:smooth val="0"/>
        </c:ser>
        <c:marker val="1"/>
        <c:axId val="25198364"/>
        <c:axId val="25458685"/>
      </c:lineChart>
      <c:catAx>
        <c:axId val="2519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58685"/>
        <c:crosses val="autoZero"/>
        <c:auto val="1"/>
        <c:lblOffset val="100"/>
        <c:noMultiLvlLbl val="0"/>
      </c:catAx>
      <c:valAx>
        <c:axId val="25458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IDOSOS DE ALTO RISCO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98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IDOSOS DE ALTO RISCO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Monitoramento!$I$179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Monitoramento!$K$179:$V$179</c:f>
              <c:numCache>
                <c:ptCount val="12"/>
                <c:pt idx="0">
                  <c:v>17.9</c:v>
                </c:pt>
                <c:pt idx="1">
                  <c:v>35.8</c:v>
                </c:pt>
                <c:pt idx="2">
                  <c:v>53.699999999999996</c:v>
                </c:pt>
                <c:pt idx="3">
                  <c:v>71.6</c:v>
                </c:pt>
                <c:pt idx="4">
                  <c:v>89.5</c:v>
                </c:pt>
                <c:pt idx="5">
                  <c:v>107.39999999999999</c:v>
                </c:pt>
                <c:pt idx="6">
                  <c:v>125.29999999999998</c:v>
                </c:pt>
                <c:pt idx="7">
                  <c:v>143.2</c:v>
                </c:pt>
                <c:pt idx="8">
                  <c:v>161.1</c:v>
                </c:pt>
                <c:pt idx="9">
                  <c:v>179</c:v>
                </c:pt>
                <c:pt idx="10">
                  <c:v>196.89999999999998</c:v>
                </c:pt>
                <c:pt idx="11">
                  <c:v>214.79999999999998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Monitoramento!$I$180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Monitoramento!$K$180:$V$180</c:f>
              <c:numCache>
                <c:ptCount val="12"/>
                <c:pt idx="0">
                  <c:v>18</c:v>
                </c:pt>
                <c:pt idx="1">
                  <c:v>36</c:v>
                </c:pt>
                <c:pt idx="2">
                  <c:v>54</c:v>
                </c:pt>
                <c:pt idx="3">
                  <c:v>72</c:v>
                </c:pt>
                <c:pt idx="4">
                  <c:v>90</c:v>
                </c:pt>
                <c:pt idx="5">
                  <c:v>108</c:v>
                </c:pt>
                <c:pt idx="6">
                  <c:v>126</c:v>
                </c:pt>
                <c:pt idx="7">
                  <c:v>144</c:v>
                </c:pt>
                <c:pt idx="8">
                  <c:v>162</c:v>
                </c:pt>
                <c:pt idx="9">
                  <c:v>180</c:v>
                </c:pt>
                <c:pt idx="10">
                  <c:v>198</c:v>
                </c:pt>
                <c:pt idx="11">
                  <c:v>215</c:v>
                </c:pt>
              </c:numCache>
            </c:numRef>
          </c:val>
          <c:smooth val="0"/>
        </c:ser>
        <c:marker val="1"/>
        <c:axId val="27801574"/>
        <c:axId val="48887575"/>
      </c:lineChart>
      <c:catAx>
        <c:axId val="278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87575"/>
        <c:crosses val="autoZero"/>
        <c:auto val="1"/>
        <c:lblOffset val="100"/>
        <c:noMultiLvlLbl val="0"/>
      </c:catAx>
      <c:valAx>
        <c:axId val="4888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0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DE PUERICULTURA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Monitoramento!$I$128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Monitoramento!$K$128:$V$128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Monitoramento!$I$129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Monitoramento!$K$129:$V$129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653180"/>
        <c:axId val="15660893"/>
      </c:lineChart>
      <c:catAx>
        <c:axId val="16653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60893"/>
        <c:crosses val="autoZero"/>
        <c:auto val="1"/>
        <c:lblOffset val="100"/>
        <c:noMultiLvlLbl val="0"/>
      </c:catAx>
      <c:valAx>
        <c:axId val="15660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53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ADOLESCENTES 10-14 ANOS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Monitoramento!$I$131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Monitoramento!$K$131:$V$131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Monitoramento!$I$132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Monitoramento!$K$132:$V$132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730310"/>
        <c:axId val="60572791"/>
      </c:lineChart>
      <c:catAx>
        <c:axId val="6730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72791"/>
        <c:crosses val="autoZero"/>
        <c:auto val="1"/>
        <c:lblOffset val="100"/>
        <c:noMultiLvlLbl val="0"/>
      </c:catAx>
      <c:valAx>
        <c:axId val="60572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ADOLESCENTES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30310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CONSULTAS PARA ADOLESCENTES DO SEXO FEMININO</a:t>
            </a:r>
          </a:p>
        </c:rich>
      </c:tx>
      <c:layout>
        <c:manualLayout>
          <c:xMode val="factor"/>
          <c:yMode val="factor"/>
          <c:x val="0.006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19"/>
          <c:w val="0.683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Monitoramento!$I$134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Monitoramento!$K$134:$V$134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Monitoramento!$I$135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Monitoramento!$K$135:$V$135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284208"/>
        <c:axId val="7449009"/>
      </c:lineChart>
      <c:catAx>
        <c:axId val="8284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49009"/>
        <c:crosses val="autoZero"/>
        <c:auto val="1"/>
        <c:lblOffset val="100"/>
        <c:noMultiLvlLbl val="0"/>
      </c:catAx>
      <c:valAx>
        <c:axId val="7449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84208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HIPERTENSOS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Monitoramento!$I$137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Monitoramento!$K$137:$V$137</c:f>
              <c:numCache>
                <c:ptCount val="12"/>
                <c:pt idx="0">
                  <c:v>37.4</c:v>
                </c:pt>
                <c:pt idx="1">
                  <c:v>74.8</c:v>
                </c:pt>
                <c:pt idx="2">
                  <c:v>112.19999999999999</c:v>
                </c:pt>
                <c:pt idx="3">
                  <c:v>149.6</c:v>
                </c:pt>
                <c:pt idx="4">
                  <c:v>187</c:v>
                </c:pt>
                <c:pt idx="5">
                  <c:v>224.39999999999998</c:v>
                </c:pt>
                <c:pt idx="6">
                  <c:v>261.8</c:v>
                </c:pt>
                <c:pt idx="7">
                  <c:v>299.2</c:v>
                </c:pt>
                <c:pt idx="8">
                  <c:v>336.59999999999997</c:v>
                </c:pt>
                <c:pt idx="9">
                  <c:v>374</c:v>
                </c:pt>
                <c:pt idx="10">
                  <c:v>411.4</c:v>
                </c:pt>
                <c:pt idx="11">
                  <c:v>448.79999999999995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Monitoramento!$I$138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Monitoramento!$K$138:$V$138</c:f>
              <c:numCache>
                <c:ptCount val="12"/>
                <c:pt idx="0">
                  <c:v>37</c:v>
                </c:pt>
                <c:pt idx="1">
                  <c:v>74</c:v>
                </c:pt>
                <c:pt idx="2">
                  <c:v>111</c:v>
                </c:pt>
                <c:pt idx="3">
                  <c:v>148</c:v>
                </c:pt>
                <c:pt idx="4">
                  <c:v>185</c:v>
                </c:pt>
                <c:pt idx="5">
                  <c:v>222</c:v>
                </c:pt>
                <c:pt idx="6">
                  <c:v>259</c:v>
                </c:pt>
                <c:pt idx="7">
                  <c:v>296</c:v>
                </c:pt>
                <c:pt idx="8">
                  <c:v>334</c:v>
                </c:pt>
                <c:pt idx="9">
                  <c:v>372</c:v>
                </c:pt>
                <c:pt idx="10">
                  <c:v>411</c:v>
                </c:pt>
                <c:pt idx="11">
                  <c:v>449</c:v>
                </c:pt>
              </c:numCache>
            </c:numRef>
          </c:val>
          <c:smooth val="0"/>
        </c:ser>
        <c:marker val="1"/>
        <c:axId val="67041082"/>
        <c:axId val="66498827"/>
      </c:lineChart>
      <c:catAx>
        <c:axId val="6704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98827"/>
        <c:crosses val="autoZero"/>
        <c:auto val="1"/>
        <c:lblOffset val="100"/>
        <c:noMultiLvlLbl val="0"/>
      </c:catAx>
      <c:valAx>
        <c:axId val="66498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HIPERTENSOS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4108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HIPERTENSOS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Monitoramento!$I$140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Monitoramento!$K$140:$V$140</c:f>
              <c:numCache>
                <c:ptCount val="12"/>
                <c:pt idx="0">
                  <c:v>59.84</c:v>
                </c:pt>
                <c:pt idx="1">
                  <c:v>119.68</c:v>
                </c:pt>
                <c:pt idx="2">
                  <c:v>179.52</c:v>
                </c:pt>
                <c:pt idx="3">
                  <c:v>239.36</c:v>
                </c:pt>
                <c:pt idx="4">
                  <c:v>299.20000000000005</c:v>
                </c:pt>
                <c:pt idx="5">
                  <c:v>359.04</c:v>
                </c:pt>
                <c:pt idx="6">
                  <c:v>418.88</c:v>
                </c:pt>
                <c:pt idx="7">
                  <c:v>478.72</c:v>
                </c:pt>
                <c:pt idx="8">
                  <c:v>538.5600000000001</c:v>
                </c:pt>
                <c:pt idx="9">
                  <c:v>598.4000000000001</c:v>
                </c:pt>
                <c:pt idx="10">
                  <c:v>658.24</c:v>
                </c:pt>
                <c:pt idx="11">
                  <c:v>718.08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Monitoramento!$I$141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Monitoramento!$K$141:$V$141</c:f>
              <c:numCache>
                <c:ptCount val="12"/>
                <c:pt idx="0">
                  <c:v>60</c:v>
                </c:pt>
                <c:pt idx="1">
                  <c:v>120</c:v>
                </c:pt>
                <c:pt idx="2">
                  <c:v>180</c:v>
                </c:pt>
                <c:pt idx="3">
                  <c:v>240</c:v>
                </c:pt>
                <c:pt idx="4">
                  <c:v>300</c:v>
                </c:pt>
                <c:pt idx="5">
                  <c:v>360</c:v>
                </c:pt>
                <c:pt idx="6">
                  <c:v>420</c:v>
                </c:pt>
                <c:pt idx="7">
                  <c:v>480</c:v>
                </c:pt>
                <c:pt idx="8">
                  <c:v>540</c:v>
                </c:pt>
                <c:pt idx="9">
                  <c:v>600</c:v>
                </c:pt>
                <c:pt idx="10">
                  <c:v>660</c:v>
                </c:pt>
                <c:pt idx="11">
                  <c:v>718</c:v>
                </c:pt>
              </c:numCache>
            </c:numRef>
          </c:val>
          <c:smooth val="0"/>
        </c:ser>
        <c:marker val="1"/>
        <c:axId val="61618532"/>
        <c:axId val="17695877"/>
      </c:lineChart>
      <c:catAx>
        <c:axId val="61618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95877"/>
        <c:crosses val="autoZero"/>
        <c:auto val="1"/>
        <c:lblOffset val="100"/>
        <c:noMultiLvlLbl val="0"/>
      </c:catAx>
      <c:valAx>
        <c:axId val="17695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18532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DIABÉTICOS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Monitoramento!$I$143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Monitoramento!$K$143:$V$143</c:f>
              <c:numCache>
                <c:ptCount val="12"/>
                <c:pt idx="0">
                  <c:v>9.724</c:v>
                </c:pt>
                <c:pt idx="1">
                  <c:v>19.448</c:v>
                </c:pt>
                <c:pt idx="2">
                  <c:v>29.172</c:v>
                </c:pt>
                <c:pt idx="3">
                  <c:v>38.896</c:v>
                </c:pt>
                <c:pt idx="4">
                  <c:v>48.620000000000005</c:v>
                </c:pt>
                <c:pt idx="5">
                  <c:v>58.344</c:v>
                </c:pt>
                <c:pt idx="6">
                  <c:v>68.068</c:v>
                </c:pt>
                <c:pt idx="7">
                  <c:v>77.792</c:v>
                </c:pt>
                <c:pt idx="8">
                  <c:v>87.516</c:v>
                </c:pt>
                <c:pt idx="9">
                  <c:v>97.24000000000001</c:v>
                </c:pt>
                <c:pt idx="10">
                  <c:v>106.964</c:v>
                </c:pt>
                <c:pt idx="11">
                  <c:v>116.688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Monitoramento!$I$147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Monitoramento!$K$144:$V$144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117</c:v>
                </c:pt>
              </c:numCache>
            </c:numRef>
          </c:val>
          <c:smooth val="0"/>
        </c:ser>
        <c:marker val="1"/>
        <c:axId val="25045166"/>
        <c:axId val="24079903"/>
      </c:lineChart>
      <c:catAx>
        <c:axId val="25045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79903"/>
        <c:crosses val="autoZero"/>
        <c:auto val="1"/>
        <c:lblOffset val="100"/>
        <c:noMultiLvlLbl val="0"/>
      </c:catAx>
      <c:valAx>
        <c:axId val="24079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DIABÉTICOS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4516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DIABÉTICOS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Monitoramento!$I$146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Monitoramento!$K$146:$V$146</c:f>
              <c:numCache>
                <c:ptCount val="12"/>
                <c:pt idx="0">
                  <c:v>18.7</c:v>
                </c:pt>
                <c:pt idx="1">
                  <c:v>37.4</c:v>
                </c:pt>
                <c:pt idx="2">
                  <c:v>56.099999999999994</c:v>
                </c:pt>
                <c:pt idx="3">
                  <c:v>74.8</c:v>
                </c:pt>
                <c:pt idx="4">
                  <c:v>93.5</c:v>
                </c:pt>
                <c:pt idx="5">
                  <c:v>112.19999999999999</c:v>
                </c:pt>
                <c:pt idx="6">
                  <c:v>130.9</c:v>
                </c:pt>
                <c:pt idx="7">
                  <c:v>149.6</c:v>
                </c:pt>
                <c:pt idx="8">
                  <c:v>168.29999999999998</c:v>
                </c:pt>
                <c:pt idx="9">
                  <c:v>187</c:v>
                </c:pt>
                <c:pt idx="10">
                  <c:v>205.7</c:v>
                </c:pt>
                <c:pt idx="11">
                  <c:v>224.39999999999998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Monitoramento!$I$147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Monitoramento!$K$147:$V$147</c:f>
              <c:numCach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val>
          <c:smooth val="0"/>
        </c:ser>
        <c:marker val="1"/>
        <c:axId val="15392536"/>
        <c:axId val="4315097"/>
      </c:lineChart>
      <c:catAx>
        <c:axId val="15392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5097"/>
        <c:crosses val="autoZero"/>
        <c:auto val="1"/>
        <c:lblOffset val="100"/>
        <c:noMultiLvlLbl val="0"/>
      </c:catAx>
      <c:valAx>
        <c:axId val="4315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92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USUÁRIOS COM HIV/AIDS CADASTRADOS</a:t>
            </a:r>
          </a:p>
        </c:rich>
      </c:tx>
      <c:layout>
        <c:manualLayout>
          <c:xMode val="factor"/>
          <c:yMode val="factor"/>
          <c:x val="0.0042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2"/>
          <c:w val="0.69275"/>
          <c:h val="0.732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Monitoramento!$I$149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Monitoramento!$K$149:$V$149</c:f>
              <c:numCache>
                <c:ptCount val="12"/>
                <c:pt idx="0">
                  <c:v>1.022</c:v>
                </c:pt>
                <c:pt idx="1">
                  <c:v>2.044</c:v>
                </c:pt>
                <c:pt idx="2">
                  <c:v>3.066</c:v>
                </c:pt>
                <c:pt idx="3">
                  <c:v>4.088</c:v>
                </c:pt>
                <c:pt idx="4">
                  <c:v>5.11</c:v>
                </c:pt>
                <c:pt idx="5">
                  <c:v>6.132</c:v>
                </c:pt>
                <c:pt idx="6">
                  <c:v>7.154</c:v>
                </c:pt>
                <c:pt idx="7">
                  <c:v>8.176</c:v>
                </c:pt>
                <c:pt idx="8">
                  <c:v>9.198</c:v>
                </c:pt>
                <c:pt idx="9">
                  <c:v>10.22</c:v>
                </c:pt>
                <c:pt idx="10">
                  <c:v>11.242</c:v>
                </c:pt>
                <c:pt idx="11">
                  <c:v>12.264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Monitoramento!$I$150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Monitoramento!$K$150:$V$150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marker val="1"/>
        <c:axId val="38835874"/>
        <c:axId val="13978547"/>
      </c:lineChart>
      <c:catAx>
        <c:axId val="3883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78547"/>
        <c:crosses val="autoZero"/>
        <c:auto val="1"/>
        <c:lblOffset val="100"/>
        <c:noMultiLvlLbl val="0"/>
      </c:catAx>
      <c:valAx>
        <c:axId val="13978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USUÁRIOS COM HIV/AIDS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35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11.emf" /><Relationship Id="rId6" Type="http://schemas.openxmlformats.org/officeDocument/2006/relationships/hyperlink" Target="#'1 -Cadastro'!A53" /><Relationship Id="rId7" Type="http://schemas.openxmlformats.org/officeDocument/2006/relationships/hyperlink" Target="#'1 -Cadastro'!A53" /><Relationship Id="rId8" Type="http://schemas.openxmlformats.org/officeDocument/2006/relationships/image" Target="../media/image4.emf" /><Relationship Id="rId9" Type="http://schemas.openxmlformats.org/officeDocument/2006/relationships/hyperlink" Target="#CAPA!A1" /><Relationship Id="rId10" Type="http://schemas.openxmlformats.org/officeDocument/2006/relationships/hyperlink" Target="#CAPA!A1" /><Relationship Id="rId11" Type="http://schemas.openxmlformats.org/officeDocument/2006/relationships/image" Target="../media/image3.png" /><Relationship Id="rId12" Type="http://schemas.openxmlformats.org/officeDocument/2006/relationships/hyperlink" Target="#CAPA!A1" /><Relationship Id="rId13" Type="http://schemas.openxmlformats.org/officeDocument/2006/relationships/hyperlink" Target="#CAPA!A1" /><Relationship Id="rId14" Type="http://schemas.openxmlformats.org/officeDocument/2006/relationships/hyperlink" Target="#CAPA!A1" /><Relationship Id="rId15" Type="http://schemas.openxmlformats.org/officeDocument/2006/relationships/hyperlink" Target="#CAPA!A1" /><Relationship Id="rId16" Type="http://schemas.openxmlformats.org/officeDocument/2006/relationships/image" Target="../media/image9.png" /><Relationship Id="rId17" Type="http://schemas.openxmlformats.org/officeDocument/2006/relationships/hyperlink" Target="#Cadastro!A52" /><Relationship Id="rId18" Type="http://schemas.openxmlformats.org/officeDocument/2006/relationships/hyperlink" Target="#Cadastro!A52" /><Relationship Id="rId19" Type="http://schemas.openxmlformats.org/officeDocument/2006/relationships/image" Target="../media/image10.png" /><Relationship Id="rId20" Type="http://schemas.openxmlformats.org/officeDocument/2006/relationships/hyperlink" Target="#Cadastro!A1" /><Relationship Id="rId21" Type="http://schemas.openxmlformats.org/officeDocument/2006/relationships/hyperlink" Target="#Cadastr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3.png" /><Relationship Id="rId6" Type="http://schemas.openxmlformats.org/officeDocument/2006/relationships/hyperlink" Target="#CAPA!A1" /><Relationship Id="rId7" Type="http://schemas.openxmlformats.org/officeDocument/2006/relationships/hyperlink" Target="#CAP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3.png" /><Relationship Id="rId6" Type="http://schemas.openxmlformats.org/officeDocument/2006/relationships/hyperlink" Target="#CAPA!A1" /><Relationship Id="rId7" Type="http://schemas.openxmlformats.org/officeDocument/2006/relationships/hyperlink" Target="#CAP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3.png" /><Relationship Id="rId6" Type="http://schemas.openxmlformats.org/officeDocument/2006/relationships/hyperlink" Target="#CAPA!A1" /><Relationship Id="rId7" Type="http://schemas.openxmlformats.org/officeDocument/2006/relationships/hyperlink" Target="#CAP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1</xdr:row>
      <xdr:rowOff>19050</xdr:rowOff>
    </xdr:from>
    <xdr:to>
      <xdr:col>16</xdr:col>
      <xdr:colOff>323850</xdr:colOff>
      <xdr:row>1</xdr:row>
      <xdr:rowOff>552450</xdr:rowOff>
    </xdr:to>
    <xdr:pic>
      <xdr:nvPicPr>
        <xdr:cNvPr id="1" name="Picture 9" descr="marca planejamento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5769" b="17308"/>
        <a:stretch>
          <a:fillRect/>
        </a:stretch>
      </xdr:blipFill>
      <xdr:spPr>
        <a:xfrm>
          <a:off x="8582025" y="190500"/>
          <a:ext cx="1619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438150</xdr:colOff>
      <xdr:row>3</xdr:row>
      <xdr:rowOff>171450</xdr:rowOff>
    </xdr:from>
    <xdr:to>
      <xdr:col>16</xdr:col>
      <xdr:colOff>504825</xdr:colOff>
      <xdr:row>3</xdr:row>
      <xdr:rowOff>495300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486775" y="1162050"/>
          <a:ext cx="1895475" cy="333375"/>
        </a:xfrm>
        <a:prstGeom prst="rect">
          <a:avLst/>
        </a:prstGeom>
        <a:solidFill>
          <a:srgbClr val="C6203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VERSÃO 1/2007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1</xdr:row>
      <xdr:rowOff>76200</xdr:rowOff>
    </xdr:from>
    <xdr:to>
      <xdr:col>8</xdr:col>
      <xdr:colOff>657225</xdr:colOff>
      <xdr:row>1</xdr:row>
      <xdr:rowOff>428625</xdr:rowOff>
    </xdr:to>
    <xdr:pic>
      <xdr:nvPicPr>
        <xdr:cNvPr id="1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1</xdr:row>
      <xdr:rowOff>66675</xdr:rowOff>
    </xdr:from>
    <xdr:to>
      <xdr:col>19</xdr:col>
      <xdr:colOff>752475</xdr:colOff>
      <xdr:row>1</xdr:row>
      <xdr:rowOff>419100</xdr:rowOff>
    </xdr:to>
    <xdr:pic>
      <xdr:nvPicPr>
        <xdr:cNvPr id="2" name="Picture 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30075" y="2571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219075</xdr:colOff>
      <xdr:row>1</xdr:row>
      <xdr:rowOff>28575</xdr:rowOff>
    </xdr:from>
    <xdr:to>
      <xdr:col>26</xdr:col>
      <xdr:colOff>1019175</xdr:colOff>
      <xdr:row>1</xdr:row>
      <xdr:rowOff>381000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0" y="2190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323850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14300" y="695325"/>
        <a:ext cx="4591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3</xdr:row>
      <xdr:rowOff>9525</xdr:rowOff>
    </xdr:from>
    <xdr:to>
      <xdr:col>15</xdr:col>
      <xdr:colOff>542925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752975" y="704850"/>
        <a:ext cx="44386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38100</xdr:rowOff>
    </xdr:from>
    <xdr:to>
      <xdr:col>8</xdr:col>
      <xdr:colOff>314325</xdr:colOff>
      <xdr:row>43</xdr:row>
      <xdr:rowOff>133350</xdr:rowOff>
    </xdr:to>
    <xdr:graphicFrame>
      <xdr:nvGraphicFramePr>
        <xdr:cNvPr id="3" name="Chart 3"/>
        <xdr:cNvGraphicFramePr/>
      </xdr:nvGraphicFramePr>
      <xdr:xfrm>
        <a:off x="114300" y="4133850"/>
        <a:ext cx="45815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361950</xdr:colOff>
      <xdr:row>24</xdr:row>
      <xdr:rowOff>38100</xdr:rowOff>
    </xdr:from>
    <xdr:to>
      <xdr:col>15</xdr:col>
      <xdr:colOff>542925</xdr:colOff>
      <xdr:row>43</xdr:row>
      <xdr:rowOff>133350</xdr:rowOff>
    </xdr:to>
    <xdr:graphicFrame>
      <xdr:nvGraphicFramePr>
        <xdr:cNvPr id="4" name="Chart 4"/>
        <xdr:cNvGraphicFramePr/>
      </xdr:nvGraphicFramePr>
      <xdr:xfrm>
        <a:off x="4743450" y="4133850"/>
        <a:ext cx="44481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44</xdr:row>
      <xdr:rowOff>9525</xdr:rowOff>
    </xdr:from>
    <xdr:to>
      <xdr:col>8</xdr:col>
      <xdr:colOff>323850</xdr:colOff>
      <xdr:row>63</xdr:row>
      <xdr:rowOff>38100</xdr:rowOff>
    </xdr:to>
    <xdr:graphicFrame>
      <xdr:nvGraphicFramePr>
        <xdr:cNvPr id="5" name="Chart 5"/>
        <xdr:cNvGraphicFramePr/>
      </xdr:nvGraphicFramePr>
      <xdr:xfrm>
        <a:off x="114300" y="7343775"/>
        <a:ext cx="4591050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361950</xdr:colOff>
      <xdr:row>44</xdr:row>
      <xdr:rowOff>19050</xdr:rowOff>
    </xdr:from>
    <xdr:to>
      <xdr:col>15</xdr:col>
      <xdr:colOff>542925</xdr:colOff>
      <xdr:row>63</xdr:row>
      <xdr:rowOff>47625</xdr:rowOff>
    </xdr:to>
    <xdr:graphicFrame>
      <xdr:nvGraphicFramePr>
        <xdr:cNvPr id="6" name="Chart 6"/>
        <xdr:cNvGraphicFramePr/>
      </xdr:nvGraphicFramePr>
      <xdr:xfrm>
        <a:off x="4743450" y="7353300"/>
        <a:ext cx="4448175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63</xdr:row>
      <xdr:rowOff>66675</xdr:rowOff>
    </xdr:from>
    <xdr:to>
      <xdr:col>8</xdr:col>
      <xdr:colOff>314325</xdr:colOff>
      <xdr:row>81</xdr:row>
      <xdr:rowOff>152400</xdr:rowOff>
    </xdr:to>
    <xdr:graphicFrame>
      <xdr:nvGraphicFramePr>
        <xdr:cNvPr id="7" name="Chart 7"/>
        <xdr:cNvGraphicFramePr/>
      </xdr:nvGraphicFramePr>
      <xdr:xfrm>
        <a:off x="114300" y="10477500"/>
        <a:ext cx="4581525" cy="3000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361950</xdr:colOff>
      <xdr:row>63</xdr:row>
      <xdr:rowOff>76200</xdr:rowOff>
    </xdr:from>
    <xdr:to>
      <xdr:col>15</xdr:col>
      <xdr:colOff>542925</xdr:colOff>
      <xdr:row>81</xdr:row>
      <xdr:rowOff>152400</xdr:rowOff>
    </xdr:to>
    <xdr:graphicFrame>
      <xdr:nvGraphicFramePr>
        <xdr:cNvPr id="8" name="Chart 8"/>
        <xdr:cNvGraphicFramePr/>
      </xdr:nvGraphicFramePr>
      <xdr:xfrm>
        <a:off x="4743450" y="10487025"/>
        <a:ext cx="4448175" cy="2990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82</xdr:row>
      <xdr:rowOff>28575</xdr:rowOff>
    </xdr:from>
    <xdr:to>
      <xdr:col>8</xdr:col>
      <xdr:colOff>314325</xdr:colOff>
      <xdr:row>101</xdr:row>
      <xdr:rowOff>95250</xdr:rowOff>
    </xdr:to>
    <xdr:graphicFrame>
      <xdr:nvGraphicFramePr>
        <xdr:cNvPr id="9" name="Chart 9"/>
        <xdr:cNvGraphicFramePr/>
      </xdr:nvGraphicFramePr>
      <xdr:xfrm>
        <a:off x="114300" y="13515975"/>
        <a:ext cx="4581525" cy="3143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361950</xdr:colOff>
      <xdr:row>82</xdr:row>
      <xdr:rowOff>28575</xdr:rowOff>
    </xdr:from>
    <xdr:to>
      <xdr:col>15</xdr:col>
      <xdr:colOff>542925</xdr:colOff>
      <xdr:row>101</xdr:row>
      <xdr:rowOff>104775</xdr:rowOff>
    </xdr:to>
    <xdr:graphicFrame>
      <xdr:nvGraphicFramePr>
        <xdr:cNvPr id="10" name="Chart 10"/>
        <xdr:cNvGraphicFramePr/>
      </xdr:nvGraphicFramePr>
      <xdr:xfrm>
        <a:off x="4743450" y="13515975"/>
        <a:ext cx="4448175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101</xdr:row>
      <xdr:rowOff>133350</xdr:rowOff>
    </xdr:from>
    <xdr:to>
      <xdr:col>8</xdr:col>
      <xdr:colOff>314325</xdr:colOff>
      <xdr:row>123</xdr:row>
      <xdr:rowOff>47625</xdr:rowOff>
    </xdr:to>
    <xdr:graphicFrame>
      <xdr:nvGraphicFramePr>
        <xdr:cNvPr id="11" name="Chart 11"/>
        <xdr:cNvGraphicFramePr/>
      </xdr:nvGraphicFramePr>
      <xdr:xfrm>
        <a:off x="114300" y="16697325"/>
        <a:ext cx="4581525" cy="3476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361950</xdr:colOff>
      <xdr:row>101</xdr:row>
      <xdr:rowOff>142875</xdr:rowOff>
    </xdr:from>
    <xdr:to>
      <xdr:col>15</xdr:col>
      <xdr:colOff>542925</xdr:colOff>
      <xdr:row>123</xdr:row>
      <xdr:rowOff>47625</xdr:rowOff>
    </xdr:to>
    <xdr:graphicFrame>
      <xdr:nvGraphicFramePr>
        <xdr:cNvPr id="12" name="Chart 12"/>
        <xdr:cNvGraphicFramePr/>
      </xdr:nvGraphicFramePr>
      <xdr:xfrm>
        <a:off x="4743450" y="16706850"/>
        <a:ext cx="4448175" cy="3467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123</xdr:row>
      <xdr:rowOff>95250</xdr:rowOff>
    </xdr:from>
    <xdr:to>
      <xdr:col>8</xdr:col>
      <xdr:colOff>314325</xdr:colOff>
      <xdr:row>143</xdr:row>
      <xdr:rowOff>133350</xdr:rowOff>
    </xdr:to>
    <xdr:graphicFrame>
      <xdr:nvGraphicFramePr>
        <xdr:cNvPr id="13" name="Chart 13"/>
        <xdr:cNvGraphicFramePr/>
      </xdr:nvGraphicFramePr>
      <xdr:xfrm>
        <a:off x="114300" y="20221575"/>
        <a:ext cx="458152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361950</xdr:colOff>
      <xdr:row>123</xdr:row>
      <xdr:rowOff>104775</xdr:rowOff>
    </xdr:from>
    <xdr:to>
      <xdr:col>15</xdr:col>
      <xdr:colOff>542925</xdr:colOff>
      <xdr:row>143</xdr:row>
      <xdr:rowOff>142875</xdr:rowOff>
    </xdr:to>
    <xdr:graphicFrame>
      <xdr:nvGraphicFramePr>
        <xdr:cNvPr id="14" name="Chart 14"/>
        <xdr:cNvGraphicFramePr/>
      </xdr:nvGraphicFramePr>
      <xdr:xfrm>
        <a:off x="4743450" y="20231100"/>
        <a:ext cx="44481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144</xdr:row>
      <xdr:rowOff>0</xdr:rowOff>
    </xdr:from>
    <xdr:to>
      <xdr:col>8</xdr:col>
      <xdr:colOff>314325</xdr:colOff>
      <xdr:row>163</xdr:row>
      <xdr:rowOff>152400</xdr:rowOff>
    </xdr:to>
    <xdr:graphicFrame>
      <xdr:nvGraphicFramePr>
        <xdr:cNvPr id="15" name="Chart 15"/>
        <xdr:cNvGraphicFramePr/>
      </xdr:nvGraphicFramePr>
      <xdr:xfrm>
        <a:off x="114300" y="23526750"/>
        <a:ext cx="4581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361950</xdr:colOff>
      <xdr:row>144</xdr:row>
      <xdr:rowOff>9525</xdr:rowOff>
    </xdr:from>
    <xdr:to>
      <xdr:col>15</xdr:col>
      <xdr:colOff>542925</xdr:colOff>
      <xdr:row>163</xdr:row>
      <xdr:rowOff>152400</xdr:rowOff>
    </xdr:to>
    <xdr:graphicFrame>
      <xdr:nvGraphicFramePr>
        <xdr:cNvPr id="16" name="Chart 16"/>
        <xdr:cNvGraphicFramePr/>
      </xdr:nvGraphicFramePr>
      <xdr:xfrm>
        <a:off x="4743450" y="23536275"/>
        <a:ext cx="4448175" cy="3219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164</xdr:row>
      <xdr:rowOff>38100</xdr:rowOff>
    </xdr:from>
    <xdr:to>
      <xdr:col>8</xdr:col>
      <xdr:colOff>314325</xdr:colOff>
      <xdr:row>184</xdr:row>
      <xdr:rowOff>38100</xdr:rowOff>
    </xdr:to>
    <xdr:graphicFrame>
      <xdr:nvGraphicFramePr>
        <xdr:cNvPr id="17" name="Chart 17"/>
        <xdr:cNvGraphicFramePr/>
      </xdr:nvGraphicFramePr>
      <xdr:xfrm>
        <a:off x="114300" y="26803350"/>
        <a:ext cx="458152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361950</xdr:colOff>
      <xdr:row>164</xdr:row>
      <xdr:rowOff>28575</xdr:rowOff>
    </xdr:from>
    <xdr:to>
      <xdr:col>15</xdr:col>
      <xdr:colOff>542925</xdr:colOff>
      <xdr:row>184</xdr:row>
      <xdr:rowOff>38100</xdr:rowOff>
    </xdr:to>
    <xdr:graphicFrame>
      <xdr:nvGraphicFramePr>
        <xdr:cNvPr id="18" name="Chart 18"/>
        <xdr:cNvGraphicFramePr/>
      </xdr:nvGraphicFramePr>
      <xdr:xfrm>
        <a:off x="4743450" y="26793825"/>
        <a:ext cx="4448175" cy="3248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184</xdr:row>
      <xdr:rowOff>76200</xdr:rowOff>
    </xdr:from>
    <xdr:to>
      <xdr:col>8</xdr:col>
      <xdr:colOff>304800</xdr:colOff>
      <xdr:row>204</xdr:row>
      <xdr:rowOff>66675</xdr:rowOff>
    </xdr:to>
    <xdr:graphicFrame>
      <xdr:nvGraphicFramePr>
        <xdr:cNvPr id="19" name="Chart 19"/>
        <xdr:cNvGraphicFramePr/>
      </xdr:nvGraphicFramePr>
      <xdr:xfrm>
        <a:off x="114300" y="30079950"/>
        <a:ext cx="4572000" cy="3228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8448675</xdr:colOff>
      <xdr:row>1</xdr:row>
      <xdr:rowOff>9525</xdr:rowOff>
    </xdr:from>
    <xdr:to>
      <xdr:col>1</xdr:col>
      <xdr:colOff>9896475</xdr:colOff>
      <xdr:row>2</xdr:row>
      <xdr:rowOff>9525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133350"/>
          <a:ext cx="1447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2</xdr:col>
      <xdr:colOff>285750</xdr:colOff>
      <xdr:row>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82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9525</xdr:rowOff>
    </xdr:from>
    <xdr:to>
      <xdr:col>12</xdr:col>
      <xdr:colOff>428625</xdr:colOff>
      <xdr:row>1</xdr:row>
      <xdr:rowOff>323850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934450" y="20002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</xdr:row>
      <xdr:rowOff>419100</xdr:rowOff>
    </xdr:from>
    <xdr:to>
      <xdr:col>12</xdr:col>
      <xdr:colOff>438150</xdr:colOff>
      <xdr:row>4</xdr:row>
      <xdr:rowOff>57150</xdr:rowOff>
    </xdr:to>
    <xdr:pic>
      <xdr:nvPicPr>
        <xdr:cNvPr id="3" name="CommandButton2">
          <a:hlinkClick r:id="rId7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943975" y="60960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35</xdr:row>
      <xdr:rowOff>0</xdr:rowOff>
    </xdr:from>
    <xdr:to>
      <xdr:col>12</xdr:col>
      <xdr:colOff>552450</xdr:colOff>
      <xdr:row>35</xdr:row>
      <xdr:rowOff>314325</xdr:rowOff>
    </xdr:to>
    <xdr:pic>
      <xdr:nvPicPr>
        <xdr:cNvPr id="4" name="CommandButton3">
          <a:hlinkClick r:id="rId10"/>
        </xdr:cNvPr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9058275" y="8305800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0</xdr:rowOff>
    </xdr:from>
    <xdr:to>
      <xdr:col>12</xdr:col>
      <xdr:colOff>447675</xdr:colOff>
      <xdr:row>1</xdr:row>
      <xdr:rowOff>342900</xdr:rowOff>
    </xdr:to>
    <xdr:pic>
      <xdr:nvPicPr>
        <xdr:cNvPr id="5" name="Picture 10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34450" y="190500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34</xdr:row>
      <xdr:rowOff>266700</xdr:rowOff>
    </xdr:from>
    <xdr:to>
      <xdr:col>12</xdr:col>
      <xdr:colOff>552450</xdr:colOff>
      <xdr:row>35</xdr:row>
      <xdr:rowOff>333375</xdr:rowOff>
    </xdr:to>
    <xdr:pic>
      <xdr:nvPicPr>
        <xdr:cNvPr id="6" name="Picture 11">
          <a:hlinkClick r:id="rId15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039225" y="82962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390525</xdr:rowOff>
    </xdr:from>
    <xdr:to>
      <xdr:col>12</xdr:col>
      <xdr:colOff>438150</xdr:colOff>
      <xdr:row>4</xdr:row>
      <xdr:rowOff>47625</xdr:rowOff>
    </xdr:to>
    <xdr:pic>
      <xdr:nvPicPr>
        <xdr:cNvPr id="7" name="Picture 12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934450" y="581025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35</xdr:row>
      <xdr:rowOff>419100</xdr:rowOff>
    </xdr:from>
    <xdr:to>
      <xdr:col>12</xdr:col>
      <xdr:colOff>533400</xdr:colOff>
      <xdr:row>38</xdr:row>
      <xdr:rowOff>38100</xdr:rowOff>
    </xdr:to>
    <xdr:pic>
      <xdr:nvPicPr>
        <xdr:cNvPr id="8" name="Picture 14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39225" y="8724900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1</xdr:row>
      <xdr:rowOff>104775</xdr:rowOff>
    </xdr:from>
    <xdr:to>
      <xdr:col>6</xdr:col>
      <xdr:colOff>1276350</xdr:colOff>
      <xdr:row>1</xdr:row>
      <xdr:rowOff>419100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372600" y="228600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1</xdr:row>
      <xdr:rowOff>95250</xdr:rowOff>
    </xdr:from>
    <xdr:to>
      <xdr:col>6</xdr:col>
      <xdr:colOff>1266825</xdr:colOff>
      <xdr:row>1</xdr:row>
      <xdr:rowOff>447675</xdr:rowOff>
    </xdr:to>
    <xdr:pic>
      <xdr:nvPicPr>
        <xdr:cNvPr id="3" name="Picture 17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44025" y="2190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</xdr:row>
      <xdr:rowOff>104775</xdr:rowOff>
    </xdr:from>
    <xdr:to>
      <xdr:col>10</xdr:col>
      <xdr:colOff>762000</xdr:colOff>
      <xdr:row>1</xdr:row>
      <xdr:rowOff>419100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972675" y="29527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</xdr:row>
      <xdr:rowOff>85725</xdr:rowOff>
    </xdr:from>
    <xdr:to>
      <xdr:col>10</xdr:col>
      <xdr:colOff>771525</xdr:colOff>
      <xdr:row>1</xdr:row>
      <xdr:rowOff>438150</xdr:rowOff>
    </xdr:to>
    <xdr:pic>
      <xdr:nvPicPr>
        <xdr:cNvPr id="3" name="Picture 8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63150" y="27622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</xdr:row>
      <xdr:rowOff>85725</xdr:rowOff>
    </xdr:from>
    <xdr:to>
      <xdr:col>10</xdr:col>
      <xdr:colOff>685800</xdr:colOff>
      <xdr:row>1</xdr:row>
      <xdr:rowOff>400050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867900" y="27622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</xdr:row>
      <xdr:rowOff>76200</xdr:rowOff>
    </xdr:from>
    <xdr:to>
      <xdr:col>10</xdr:col>
      <xdr:colOff>695325</xdr:colOff>
      <xdr:row>1</xdr:row>
      <xdr:rowOff>428625</xdr:rowOff>
    </xdr:to>
    <xdr:pic>
      <xdr:nvPicPr>
        <xdr:cNvPr id="3" name="Picture 8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58375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1</xdr:row>
      <xdr:rowOff>76200</xdr:rowOff>
    </xdr:from>
    <xdr:to>
      <xdr:col>10</xdr:col>
      <xdr:colOff>695325</xdr:colOff>
      <xdr:row>1</xdr:row>
      <xdr:rowOff>428625</xdr:rowOff>
    </xdr:to>
    <xdr:pic>
      <xdr:nvPicPr>
        <xdr:cNvPr id="1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</xdr:row>
      <xdr:rowOff>76200</xdr:rowOff>
    </xdr:from>
    <xdr:to>
      <xdr:col>10</xdr:col>
      <xdr:colOff>742950</xdr:colOff>
      <xdr:row>1</xdr:row>
      <xdr:rowOff>428625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</xdr:row>
      <xdr:rowOff>76200</xdr:rowOff>
    </xdr:from>
    <xdr:to>
      <xdr:col>10</xdr:col>
      <xdr:colOff>657225</xdr:colOff>
      <xdr:row>1</xdr:row>
      <xdr:rowOff>428625</xdr:rowOff>
    </xdr:to>
    <xdr:pic>
      <xdr:nvPicPr>
        <xdr:cNvPr id="2" name="Picture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Y32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7.8515625" style="2" customWidth="1"/>
    <col min="2" max="2" width="9.140625" style="2" customWidth="1"/>
    <col min="3" max="3" width="10.00390625" style="2" customWidth="1"/>
    <col min="4" max="9" width="9.140625" style="2" customWidth="1"/>
    <col min="10" max="10" width="11.421875" style="2" customWidth="1"/>
    <col min="11" max="18" width="9.140625" style="2" customWidth="1"/>
    <col min="19" max="25" width="9.140625" style="1" customWidth="1"/>
    <col min="26" max="16384" width="9.140625" style="2" customWidth="1"/>
  </cols>
  <sheetData>
    <row r="1" spans="1:1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5" customHeight="1">
      <c r="A2" s="1"/>
      <c r="B2" s="3" t="s">
        <v>149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6"/>
      <c r="R2" s="1"/>
    </row>
    <row r="3" spans="1:18" ht="19.5" customHeight="1" thickBot="1">
      <c r="A3" s="1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49.5" customHeight="1" thickBot="1">
      <c r="A4" s="1"/>
      <c r="B4" s="519" t="s">
        <v>332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1"/>
      <c r="R4" s="1"/>
    </row>
    <row r="5" spans="1:18" ht="22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s="14" customFormat="1" ht="32.25" customHeight="1" thickBot="1">
      <c r="A6" s="8"/>
      <c r="B6" s="522" t="s">
        <v>344</v>
      </c>
      <c r="C6" s="522"/>
      <c r="D6" s="523"/>
      <c r="E6" s="524"/>
      <c r="F6" s="524"/>
      <c r="G6" s="524"/>
      <c r="H6" s="524"/>
      <c r="I6" s="525"/>
      <c r="J6" s="16" t="s">
        <v>343</v>
      </c>
      <c r="K6" s="523"/>
      <c r="L6" s="524"/>
      <c r="M6" s="524"/>
      <c r="N6" s="524"/>
      <c r="O6" s="524"/>
      <c r="P6" s="524"/>
      <c r="Q6" s="525"/>
      <c r="R6" s="8"/>
      <c r="S6" s="8"/>
      <c r="T6" s="8"/>
      <c r="U6" s="8"/>
      <c r="V6" s="8"/>
      <c r="W6" s="8"/>
      <c r="X6" s="8"/>
      <c r="Y6" s="8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4" customHeight="1" thickBot="1">
      <c r="A8" s="1"/>
      <c r="B8" s="526" t="s">
        <v>345</v>
      </c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1"/>
    </row>
    <row r="9" spans="1:18" ht="30" customHeight="1">
      <c r="A9" s="1"/>
      <c r="B9" s="513" t="s">
        <v>299</v>
      </c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5"/>
      <c r="R9" s="1"/>
    </row>
    <row r="10" spans="1:18" ht="13.5" thickBo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"/>
    </row>
    <row r="11" spans="1:18" ht="30" customHeight="1">
      <c r="A11" s="1"/>
      <c r="B11" s="513" t="s">
        <v>331</v>
      </c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14"/>
      <c r="Q11" s="515"/>
      <c r="R11" s="1"/>
    </row>
    <row r="12" spans="1:18" ht="9.75" customHeight="1" thickBot="1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24.75" customHeight="1">
      <c r="A13" s="1"/>
      <c r="B13" s="10" t="s">
        <v>333</v>
      </c>
      <c r="C13" s="516" t="s">
        <v>595</v>
      </c>
      <c r="D13" s="517"/>
      <c r="E13" s="517"/>
      <c r="F13" s="517"/>
      <c r="G13" s="517"/>
      <c r="H13" s="518"/>
      <c r="I13" s="15"/>
      <c r="J13" s="10" t="s">
        <v>338</v>
      </c>
      <c r="K13" s="516" t="s">
        <v>467</v>
      </c>
      <c r="L13" s="517"/>
      <c r="M13" s="517"/>
      <c r="N13" s="517"/>
      <c r="O13" s="517"/>
      <c r="P13" s="518"/>
      <c r="Q13" s="11"/>
      <c r="R13" s="1"/>
    </row>
    <row r="14" spans="1:18" ht="9.75" customHeight="1" thickBot="1">
      <c r="A14" s="1"/>
      <c r="B14" s="10"/>
      <c r="C14" s="12"/>
      <c r="D14" s="12"/>
      <c r="E14" s="12"/>
      <c r="F14" s="12"/>
      <c r="G14" s="12"/>
      <c r="H14" s="8"/>
      <c r="I14" s="8"/>
      <c r="J14" s="10"/>
      <c r="K14" s="12"/>
      <c r="L14" s="12"/>
      <c r="M14" s="12"/>
      <c r="N14" s="12"/>
      <c r="O14" s="12"/>
      <c r="P14" s="12"/>
      <c r="Q14" s="13"/>
      <c r="R14" s="1"/>
    </row>
    <row r="15" spans="1:18" ht="24.75" customHeight="1">
      <c r="A15" s="1"/>
      <c r="B15" s="10" t="s">
        <v>334</v>
      </c>
      <c r="C15" s="516" t="s">
        <v>150</v>
      </c>
      <c r="D15" s="517"/>
      <c r="E15" s="517"/>
      <c r="F15" s="517"/>
      <c r="G15" s="517"/>
      <c r="H15" s="518"/>
      <c r="I15" s="15"/>
      <c r="J15" s="10" t="s">
        <v>339</v>
      </c>
      <c r="K15" s="516" t="s">
        <v>468</v>
      </c>
      <c r="L15" s="517"/>
      <c r="M15" s="517"/>
      <c r="N15" s="517"/>
      <c r="O15" s="517"/>
      <c r="P15" s="518"/>
      <c r="Q15" s="11"/>
      <c r="R15" s="1"/>
    </row>
    <row r="16" spans="1:18" ht="9.75" customHeight="1" thickBot="1">
      <c r="A16" s="1"/>
      <c r="B16" s="10"/>
      <c r="C16" s="12"/>
      <c r="D16" s="12"/>
      <c r="E16" s="12"/>
      <c r="F16" s="12"/>
      <c r="G16" s="12"/>
      <c r="H16" s="8"/>
      <c r="I16" s="8"/>
      <c r="J16" s="10"/>
      <c r="K16" s="12"/>
      <c r="L16" s="12"/>
      <c r="M16" s="12"/>
      <c r="N16" s="12"/>
      <c r="O16" s="12"/>
      <c r="P16" s="12"/>
      <c r="Q16" s="13"/>
      <c r="R16" s="1"/>
    </row>
    <row r="17" spans="1:18" ht="24.75" customHeight="1">
      <c r="A17" s="1"/>
      <c r="B17" s="10" t="s">
        <v>335</v>
      </c>
      <c r="C17" s="516" t="s">
        <v>464</v>
      </c>
      <c r="D17" s="517"/>
      <c r="E17" s="517"/>
      <c r="F17" s="517"/>
      <c r="G17" s="517"/>
      <c r="H17" s="518"/>
      <c r="I17" s="15"/>
      <c r="J17" s="10" t="s">
        <v>340</v>
      </c>
      <c r="K17" s="516" t="s">
        <v>151</v>
      </c>
      <c r="L17" s="517"/>
      <c r="M17" s="517"/>
      <c r="N17" s="517"/>
      <c r="O17" s="517"/>
      <c r="P17" s="518"/>
      <c r="Q17" s="11"/>
      <c r="R17" s="1"/>
    </row>
    <row r="18" spans="1:18" ht="9.75" customHeight="1" thickBot="1">
      <c r="A18" s="1"/>
      <c r="B18" s="10"/>
      <c r="C18" s="12"/>
      <c r="D18" s="12"/>
      <c r="E18" s="12"/>
      <c r="F18" s="12"/>
      <c r="G18" s="12"/>
      <c r="H18" s="8"/>
      <c r="I18" s="8"/>
      <c r="J18" s="10"/>
      <c r="K18" s="12"/>
      <c r="L18" s="12"/>
      <c r="M18" s="12"/>
      <c r="N18" s="12"/>
      <c r="O18" s="12"/>
      <c r="P18" s="12"/>
      <c r="Q18" s="13"/>
      <c r="R18" s="1"/>
    </row>
    <row r="19" spans="1:18" ht="24.75" customHeight="1">
      <c r="A19" s="1"/>
      <c r="B19" s="10" t="s">
        <v>336</v>
      </c>
      <c r="C19" s="516" t="s">
        <v>465</v>
      </c>
      <c r="D19" s="517"/>
      <c r="E19" s="517"/>
      <c r="F19" s="517"/>
      <c r="G19" s="517"/>
      <c r="H19" s="518"/>
      <c r="I19" s="15"/>
      <c r="J19" s="10" t="s">
        <v>341</v>
      </c>
      <c r="K19" s="516" t="s">
        <v>346</v>
      </c>
      <c r="L19" s="517"/>
      <c r="M19" s="517"/>
      <c r="N19" s="517"/>
      <c r="O19" s="517"/>
      <c r="P19" s="518"/>
      <c r="Q19" s="11"/>
      <c r="R19" s="1"/>
    </row>
    <row r="20" spans="1:18" ht="9.75" customHeight="1" thickBot="1">
      <c r="A20" s="1"/>
      <c r="B20" s="10"/>
      <c r="C20" s="12"/>
      <c r="D20" s="12"/>
      <c r="E20" s="12"/>
      <c r="F20" s="12"/>
      <c r="G20" s="12"/>
      <c r="H20" s="8"/>
      <c r="I20" s="8"/>
      <c r="J20" s="10"/>
      <c r="K20" s="12"/>
      <c r="L20" s="12"/>
      <c r="M20" s="12"/>
      <c r="N20" s="12"/>
      <c r="O20" s="12"/>
      <c r="P20" s="12"/>
      <c r="Q20" s="13"/>
      <c r="R20" s="1"/>
    </row>
    <row r="21" spans="1:18" ht="24.75" customHeight="1">
      <c r="A21" s="1"/>
      <c r="B21" s="10" t="s">
        <v>337</v>
      </c>
      <c r="C21" s="516" t="s">
        <v>466</v>
      </c>
      <c r="D21" s="517"/>
      <c r="E21" s="517"/>
      <c r="F21" s="517"/>
      <c r="G21" s="517"/>
      <c r="H21" s="518"/>
      <c r="I21" s="15"/>
      <c r="J21" s="10" t="s">
        <v>342</v>
      </c>
      <c r="K21" s="516" t="s">
        <v>152</v>
      </c>
      <c r="L21" s="517"/>
      <c r="M21" s="517"/>
      <c r="N21" s="517"/>
      <c r="O21" s="517"/>
      <c r="P21" s="518"/>
      <c r="Q21" s="11"/>
      <c r="R21" s="1"/>
    </row>
    <row r="22" spans="1:18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</sheetData>
  <sheetProtection sheet="1" objects="1" scenarios="1"/>
  <mergeCells count="17">
    <mergeCell ref="B4:Q4"/>
    <mergeCell ref="K13:P13"/>
    <mergeCell ref="K15:P15"/>
    <mergeCell ref="B6:C6"/>
    <mergeCell ref="K6:Q6"/>
    <mergeCell ref="D6:I6"/>
    <mergeCell ref="B8:Q8"/>
    <mergeCell ref="C15:H15"/>
    <mergeCell ref="C13:H13"/>
    <mergeCell ref="B9:Q9"/>
    <mergeCell ref="B11:Q11"/>
    <mergeCell ref="K17:P17"/>
    <mergeCell ref="K19:P19"/>
    <mergeCell ref="K21:P21"/>
    <mergeCell ref="C19:H19"/>
    <mergeCell ref="C17:H17"/>
    <mergeCell ref="C21:H21"/>
  </mergeCells>
  <hyperlinks>
    <hyperlink ref="B9:Q9" location="Tutorial!A1" display="TUTORIAL"/>
    <hyperlink ref="C15:H15" location="Sit.Saúde!A1" display="Situação de Saúde"/>
    <hyperlink ref="C19:H19" location="ADOLESCENTE!A1" display="Programação Adolescente"/>
    <hyperlink ref="C17:H17" location="CRIANÇA!A1" display="Programação Criança"/>
    <hyperlink ref="C13:H13" location="Cadastro!A1" display="Cadastro e classificação familiar"/>
    <hyperlink ref="C21:H21" location="ADULTO!A1" display="Programação Adulto"/>
    <hyperlink ref="K13:P13" location="GESTANTE!A1" display="Programação Gestante"/>
    <hyperlink ref="K15:P15" location="IDOSO!A1" display="Programação Idoso"/>
    <hyperlink ref="K17:P17" location="'Outras ações'!A1" display="Ações gerais"/>
    <hyperlink ref="K19:P19" location="Consolidado!A1" display="Consolidado / Agenda semanal"/>
    <hyperlink ref="K21:P21" location="Monitoramento!A1" display="Monitoramento"/>
  </hyperlinks>
  <printOptions/>
  <pageMargins left="0.17" right="0.06" top="0.51" bottom="0.25" header="0.492125985" footer="0.29"/>
  <pageSetup fitToHeight="1" fitToWidth="1" horizontalDpi="300" verticalDpi="3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A1:Y44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42.421875" style="70" customWidth="1"/>
    <col min="3" max="3" width="60.421875" style="70" customWidth="1"/>
    <col min="4" max="4" width="2.7109375" style="70" customWidth="1"/>
    <col min="5" max="5" width="9.8515625" style="70" customWidth="1"/>
    <col min="6" max="6" width="14.28125" style="70" customWidth="1"/>
    <col min="7" max="7" width="11.28125" style="70" customWidth="1"/>
    <col min="8" max="8" width="17.28125" style="70" customWidth="1"/>
    <col min="9" max="9" width="13.00390625" style="70" customWidth="1"/>
    <col min="10" max="16384" width="9.140625" style="70" customWidth="1"/>
  </cols>
  <sheetData>
    <row r="1" spans="1:25" ht="15" customHeight="1" thickBot="1">
      <c r="A1" s="42"/>
      <c r="B1" s="537"/>
      <c r="C1" s="537"/>
      <c r="D1" s="537"/>
      <c r="E1" s="537"/>
      <c r="F1" s="537"/>
      <c r="G1" s="537"/>
      <c r="H1" s="537"/>
      <c r="I1" s="53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9.75" customHeight="1">
      <c r="A2" s="97"/>
      <c r="B2" s="439" t="s">
        <v>463</v>
      </c>
      <c r="C2" s="440"/>
      <c r="D2" s="440"/>
      <c r="E2" s="440"/>
      <c r="F2" s="440"/>
      <c r="G2" s="440"/>
      <c r="H2" s="440"/>
      <c r="I2" s="441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5" customHeight="1" thickBot="1">
      <c r="A3" s="97"/>
      <c r="B3" s="89"/>
      <c r="C3" s="89"/>
      <c r="D3" s="27"/>
      <c r="E3" s="89"/>
      <c r="F3" s="89"/>
      <c r="G3" s="89"/>
      <c r="H3" s="89"/>
      <c r="I3" s="89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 ht="30" customHeight="1">
      <c r="A4" s="97"/>
      <c r="B4" s="427" t="s">
        <v>184</v>
      </c>
      <c r="C4" s="543"/>
      <c r="D4" s="44"/>
      <c r="E4" s="540" t="s">
        <v>349</v>
      </c>
      <c r="F4" s="541"/>
      <c r="G4" s="541"/>
      <c r="H4" s="541"/>
      <c r="I4" s="542"/>
      <c r="J4" s="116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24" customHeight="1">
      <c r="A5" s="97"/>
      <c r="B5" s="68" t="s">
        <v>189</v>
      </c>
      <c r="C5" s="43" t="s">
        <v>478</v>
      </c>
      <c r="D5" s="27"/>
      <c r="E5" s="551" t="s">
        <v>212</v>
      </c>
      <c r="F5" s="552"/>
      <c r="G5" s="552"/>
      <c r="H5" s="552"/>
      <c r="I5" s="145" t="s">
        <v>211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5" customHeight="1" thickBot="1">
      <c r="A6" s="97"/>
      <c r="B6" s="90"/>
      <c r="C6" s="89"/>
      <c r="D6" s="89"/>
      <c r="E6" s="89"/>
      <c r="F6" s="89"/>
      <c r="G6" s="89"/>
      <c r="H6" s="89"/>
      <c r="I6" s="89"/>
      <c r="J6" s="42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30" customHeight="1">
      <c r="A7" s="97"/>
      <c r="B7" s="463" t="s">
        <v>384</v>
      </c>
      <c r="C7" s="464"/>
      <c r="D7" s="464"/>
      <c r="E7" s="464"/>
      <c r="F7" s="464"/>
      <c r="G7" s="464"/>
      <c r="H7" s="464"/>
      <c r="I7" s="464"/>
      <c r="J7" s="116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5" customHeight="1" thickBot="1">
      <c r="A8" s="97"/>
      <c r="B8" s="30"/>
      <c r="C8" s="30"/>
      <c r="D8" s="117"/>
      <c r="E8" s="30"/>
      <c r="F8" s="117"/>
      <c r="G8" s="117"/>
      <c r="H8" s="30"/>
      <c r="I8" s="117"/>
      <c r="J8" s="42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ht="69" customHeight="1">
      <c r="A9" s="42"/>
      <c r="B9" s="62" t="s">
        <v>134</v>
      </c>
      <c r="C9" s="118" t="s">
        <v>135</v>
      </c>
      <c r="D9" s="119"/>
      <c r="E9" s="37"/>
      <c r="F9" s="120" t="s">
        <v>596</v>
      </c>
      <c r="G9" s="108">
        <f>E9*4*11*1</f>
        <v>0</v>
      </c>
      <c r="H9" s="121" t="s">
        <v>204</v>
      </c>
      <c r="I9" s="98" t="s">
        <v>488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ht="81.75" customHeight="1">
      <c r="A10" s="42"/>
      <c r="B10" s="122" t="s">
        <v>136</v>
      </c>
      <c r="C10" s="123" t="s">
        <v>137</v>
      </c>
      <c r="D10" s="119"/>
      <c r="E10" s="546" t="s">
        <v>215</v>
      </c>
      <c r="F10" s="547"/>
      <c r="G10" s="547"/>
      <c r="H10" s="547"/>
      <c r="I10" s="548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66.75" customHeight="1">
      <c r="A11" s="97"/>
      <c r="B11" s="124" t="s">
        <v>138</v>
      </c>
      <c r="C11" s="125" t="s">
        <v>139</v>
      </c>
      <c r="D11" s="119"/>
      <c r="E11" s="544" t="s">
        <v>481</v>
      </c>
      <c r="F11" s="544"/>
      <c r="G11" s="544"/>
      <c r="H11" s="544"/>
      <c r="I11" s="545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</row>
    <row r="12" spans="1:25" ht="15" customHeight="1" thickBot="1">
      <c r="A12" s="97"/>
      <c r="B12" s="126"/>
      <c r="C12" s="127"/>
      <c r="D12" s="127"/>
      <c r="E12" s="128"/>
      <c r="F12" s="128"/>
      <c r="G12" s="128"/>
      <c r="H12" s="128"/>
      <c r="I12" s="128"/>
      <c r="J12" s="42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5" ht="30" customHeight="1">
      <c r="A13" s="97"/>
      <c r="B13" s="463" t="s">
        <v>385</v>
      </c>
      <c r="C13" s="464"/>
      <c r="D13" s="464"/>
      <c r="E13" s="464"/>
      <c r="F13" s="464"/>
      <c r="G13" s="464"/>
      <c r="H13" s="464"/>
      <c r="I13" s="464"/>
      <c r="J13" s="116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s="130" customFormat="1" ht="15" customHeight="1" thickBot="1">
      <c r="A14" s="97"/>
      <c r="B14" s="30"/>
      <c r="C14" s="30"/>
      <c r="D14" s="30"/>
      <c r="E14" s="129"/>
      <c r="F14" s="30"/>
      <c r="G14" s="30"/>
      <c r="H14" s="30"/>
      <c r="I14" s="30"/>
      <c r="J14" s="42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25" ht="296.25" customHeight="1">
      <c r="A15" s="97"/>
      <c r="B15" s="45" t="s">
        <v>140</v>
      </c>
      <c r="C15" s="131" t="s">
        <v>141</v>
      </c>
      <c r="D15" s="132"/>
      <c r="E15" s="32"/>
      <c r="F15" s="139" t="s">
        <v>596</v>
      </c>
      <c r="G15" s="64">
        <f>E15*4*11*1</f>
        <v>0</v>
      </c>
      <c r="H15" s="133" t="s">
        <v>482</v>
      </c>
      <c r="I15" s="47" t="s">
        <v>488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</row>
    <row r="16" spans="1:25" ht="70.5" customHeight="1">
      <c r="A16" s="97"/>
      <c r="B16" s="62" t="s">
        <v>134</v>
      </c>
      <c r="C16" s="123" t="s">
        <v>143</v>
      </c>
      <c r="D16" s="119"/>
      <c r="E16" s="33"/>
      <c r="F16" s="140" t="s">
        <v>596</v>
      </c>
      <c r="G16" s="110">
        <f>E16*4*11*1</f>
        <v>0</v>
      </c>
      <c r="H16" s="141" t="s">
        <v>204</v>
      </c>
      <c r="I16" s="53" t="s">
        <v>488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</row>
    <row r="17" spans="1:25" ht="78.75" customHeight="1">
      <c r="A17" s="97"/>
      <c r="B17" s="52" t="s">
        <v>136</v>
      </c>
      <c r="C17" s="134" t="s">
        <v>137</v>
      </c>
      <c r="D17" s="119"/>
      <c r="E17" s="546" t="s">
        <v>480</v>
      </c>
      <c r="F17" s="547"/>
      <c r="G17" s="547"/>
      <c r="H17" s="547"/>
      <c r="I17" s="548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</row>
    <row r="18" spans="1:25" ht="69" customHeight="1">
      <c r="A18" s="97"/>
      <c r="B18" s="127" t="s">
        <v>142</v>
      </c>
      <c r="C18" s="125" t="s">
        <v>139</v>
      </c>
      <c r="D18" s="119"/>
      <c r="E18" s="538" t="s">
        <v>481</v>
      </c>
      <c r="F18" s="538"/>
      <c r="G18" s="538"/>
      <c r="H18" s="538"/>
      <c r="I18" s="539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</row>
    <row r="19" spans="1:25" ht="15" customHeight="1" thickBot="1">
      <c r="A19" s="97"/>
      <c r="B19" s="126"/>
      <c r="C19" s="127"/>
      <c r="D19" s="127"/>
      <c r="E19" s="128"/>
      <c r="F19" s="128"/>
      <c r="G19" s="128"/>
      <c r="H19" s="128"/>
      <c r="I19" s="128"/>
      <c r="J19" s="42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</row>
    <row r="20" spans="1:25" ht="30" customHeight="1">
      <c r="A20" s="97"/>
      <c r="B20" s="463" t="s">
        <v>386</v>
      </c>
      <c r="C20" s="464"/>
      <c r="D20" s="464"/>
      <c r="E20" s="464"/>
      <c r="F20" s="464"/>
      <c r="G20" s="464"/>
      <c r="H20" s="464"/>
      <c r="I20" s="465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</row>
    <row r="21" spans="1:25" ht="15" customHeight="1">
      <c r="A21" s="97"/>
      <c r="B21" s="30"/>
      <c r="C21" s="30"/>
      <c r="D21" s="30"/>
      <c r="E21" s="30"/>
      <c r="F21" s="30"/>
      <c r="G21" s="30"/>
      <c r="H21" s="30"/>
      <c r="I21" s="30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</row>
    <row r="22" spans="1:25" ht="54.75" customHeight="1">
      <c r="A22" s="97"/>
      <c r="B22" s="533" t="s">
        <v>148</v>
      </c>
      <c r="C22" s="535" t="s">
        <v>425</v>
      </c>
      <c r="D22" s="553"/>
      <c r="E22" s="553"/>
      <c r="F22" s="533"/>
      <c r="G22" s="108">
        <f>CRIANÇA!I13</f>
        <v>0</v>
      </c>
      <c r="H22" s="107" t="s">
        <v>426</v>
      </c>
      <c r="I22" s="98" t="s">
        <v>488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</row>
    <row r="23" spans="1:25" ht="42.75" customHeight="1">
      <c r="A23" s="97"/>
      <c r="B23" s="533"/>
      <c r="C23" s="535"/>
      <c r="D23" s="553"/>
      <c r="E23" s="553"/>
      <c r="F23" s="533"/>
      <c r="G23" s="110">
        <f>SUM(ADOLESCENTE!I12:I13)</f>
        <v>0</v>
      </c>
      <c r="H23" s="57" t="s">
        <v>144</v>
      </c>
      <c r="I23" s="53" t="s">
        <v>488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</row>
    <row r="24" spans="1:25" ht="40.5" customHeight="1">
      <c r="A24" s="97"/>
      <c r="B24" s="533"/>
      <c r="C24" s="535"/>
      <c r="D24" s="553"/>
      <c r="E24" s="553"/>
      <c r="F24" s="533"/>
      <c r="G24" s="34">
        <f>SUM(Cadastro!G16:G23)/10*2</f>
        <v>0</v>
      </c>
      <c r="H24" s="57" t="s">
        <v>145</v>
      </c>
      <c r="I24" s="53" t="s">
        <v>488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1:25" ht="39" customHeight="1">
      <c r="A25" s="97"/>
      <c r="B25" s="533"/>
      <c r="C25" s="535"/>
      <c r="D25" s="553"/>
      <c r="E25" s="553"/>
      <c r="F25" s="533"/>
      <c r="G25" s="34">
        <f>SUM(IDOSO!I12:I14)</f>
        <v>0</v>
      </c>
      <c r="H25" s="107" t="s">
        <v>146</v>
      </c>
      <c r="I25" s="113" t="s">
        <v>488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</row>
    <row r="26" spans="1:25" ht="43.5" customHeight="1">
      <c r="A26" s="97"/>
      <c r="B26" s="443"/>
      <c r="C26" s="536"/>
      <c r="D26" s="554"/>
      <c r="E26" s="554"/>
      <c r="F26" s="443"/>
      <c r="G26" s="56">
        <f>SUM(GESTANTE!I13)</f>
        <v>0</v>
      </c>
      <c r="H26" s="55" t="s">
        <v>147</v>
      </c>
      <c r="I26" s="113" t="s">
        <v>488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</row>
    <row r="27" spans="1:25" ht="68.25" customHeight="1">
      <c r="A27" s="97"/>
      <c r="B27" s="122" t="s">
        <v>427</v>
      </c>
      <c r="C27" s="549" t="s">
        <v>428</v>
      </c>
      <c r="D27" s="550"/>
      <c r="E27" s="550"/>
      <c r="F27" s="454"/>
      <c r="G27" s="64">
        <f>CRIANÇA!I10</f>
        <v>0</v>
      </c>
      <c r="H27" s="55" t="s">
        <v>205</v>
      </c>
      <c r="I27" s="135" t="s">
        <v>488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</row>
    <row r="28" spans="1:25" ht="54" customHeight="1">
      <c r="A28" s="97"/>
      <c r="B28" s="122" t="s">
        <v>429</v>
      </c>
      <c r="C28" s="549" t="s">
        <v>432</v>
      </c>
      <c r="D28" s="550"/>
      <c r="E28" s="550"/>
      <c r="F28" s="454"/>
      <c r="G28" s="34">
        <f>ADULTO!I56</f>
        <v>0</v>
      </c>
      <c r="H28" s="57" t="s">
        <v>470</v>
      </c>
      <c r="I28" s="53" t="s">
        <v>488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  <row r="29" spans="1:25" ht="56.25" customHeight="1" thickBot="1">
      <c r="A29" s="97"/>
      <c r="B29" s="103" t="s">
        <v>434</v>
      </c>
      <c r="C29" s="550" t="s">
        <v>433</v>
      </c>
      <c r="D29" s="454"/>
      <c r="E29" s="215">
        <f>Consolidado!D40+Consolidado!I40</f>
        <v>0</v>
      </c>
      <c r="F29" s="55" t="s">
        <v>597</v>
      </c>
      <c r="G29" s="215">
        <f>E29*3</f>
        <v>0</v>
      </c>
      <c r="H29" s="55" t="s">
        <v>598</v>
      </c>
      <c r="I29" s="53" t="s">
        <v>488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</row>
    <row r="30" spans="1:25" ht="72" customHeight="1">
      <c r="A30" s="42"/>
      <c r="B30" s="122" t="s">
        <v>134</v>
      </c>
      <c r="C30" s="549" t="s">
        <v>135</v>
      </c>
      <c r="D30" s="454"/>
      <c r="E30" s="37"/>
      <c r="F30" s="142" t="s">
        <v>596</v>
      </c>
      <c r="G30" s="94">
        <f>E30*4*11*1</f>
        <v>0</v>
      </c>
      <c r="H30" s="107" t="s">
        <v>204</v>
      </c>
      <c r="I30" s="53" t="s">
        <v>488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</row>
    <row r="31" spans="1:25" ht="69" customHeight="1">
      <c r="A31" s="97"/>
      <c r="B31" s="103" t="s">
        <v>136</v>
      </c>
      <c r="C31" s="549" t="s">
        <v>137</v>
      </c>
      <c r="D31" s="454"/>
      <c r="E31" s="555" t="s">
        <v>480</v>
      </c>
      <c r="F31" s="555"/>
      <c r="G31" s="555"/>
      <c r="H31" s="555"/>
      <c r="I31" s="556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</row>
    <row r="32" spans="1:25" ht="68.25" customHeight="1">
      <c r="A32" s="42"/>
      <c r="B32" s="72" t="s">
        <v>142</v>
      </c>
      <c r="C32" s="557" t="s">
        <v>139</v>
      </c>
      <c r="D32" s="437"/>
      <c r="E32" s="564" t="s">
        <v>481</v>
      </c>
      <c r="F32" s="538"/>
      <c r="G32" s="538"/>
      <c r="H32" s="538"/>
      <c r="I32" s="539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</row>
    <row r="33" spans="1:25" ht="15" customHeight="1" thickBot="1">
      <c r="A33" s="97"/>
      <c r="B33" s="126"/>
      <c r="C33" s="127"/>
      <c r="D33" s="127"/>
      <c r="E33" s="128"/>
      <c r="F33" s="128"/>
      <c r="G33" s="128"/>
      <c r="H33" s="128"/>
      <c r="I33" s="128"/>
      <c r="J33" s="42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</row>
    <row r="34" spans="1:25" ht="30" customHeight="1">
      <c r="A34" s="97"/>
      <c r="B34" s="463" t="s">
        <v>473</v>
      </c>
      <c r="C34" s="464"/>
      <c r="D34" s="464"/>
      <c r="E34" s="464"/>
      <c r="F34" s="464"/>
      <c r="G34" s="464"/>
      <c r="H34" s="464"/>
      <c r="I34" s="465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</row>
    <row r="35" spans="1:25" ht="15" customHeight="1">
      <c r="A35" s="97"/>
      <c r="B35" s="30"/>
      <c r="C35" s="117"/>
      <c r="D35" s="117"/>
      <c r="E35" s="30"/>
      <c r="F35" s="30"/>
      <c r="G35" s="30"/>
      <c r="H35" s="30"/>
      <c r="I35" s="30"/>
      <c r="J35" s="42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</row>
    <row r="36" spans="1:25" ht="83.25" customHeight="1">
      <c r="A36" s="97"/>
      <c r="B36" s="62" t="s">
        <v>435</v>
      </c>
      <c r="C36" s="131" t="s">
        <v>436</v>
      </c>
      <c r="D36" s="119"/>
      <c r="E36" s="51">
        <f>Cadastro!D$42</f>
        <v>0</v>
      </c>
      <c r="F36" s="50" t="s">
        <v>599</v>
      </c>
      <c r="G36" s="36">
        <f>E36*1</f>
        <v>0</v>
      </c>
      <c r="H36" s="50" t="s">
        <v>204</v>
      </c>
      <c r="I36" s="47" t="s">
        <v>488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</row>
    <row r="37" spans="1:25" ht="83.25" customHeight="1">
      <c r="A37" s="42"/>
      <c r="B37" s="103" t="s">
        <v>437</v>
      </c>
      <c r="C37" s="134" t="s">
        <v>438</v>
      </c>
      <c r="D37" s="119"/>
      <c r="E37" s="136">
        <f>Cadastro!D$42</f>
        <v>0</v>
      </c>
      <c r="F37" s="106" t="s">
        <v>599</v>
      </c>
      <c r="G37" s="56">
        <f>E37*1</f>
        <v>0</v>
      </c>
      <c r="H37" s="57" t="s">
        <v>204</v>
      </c>
      <c r="I37" s="53" t="s">
        <v>488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</row>
    <row r="38" spans="1:25" ht="69" customHeight="1">
      <c r="A38" s="97"/>
      <c r="B38" s="52" t="s">
        <v>439</v>
      </c>
      <c r="C38" s="131" t="s">
        <v>440</v>
      </c>
      <c r="D38" s="119"/>
      <c r="E38" s="56">
        <f>Cadastro!G42</f>
        <v>0</v>
      </c>
      <c r="F38" s="55" t="s">
        <v>600</v>
      </c>
      <c r="G38" s="110">
        <f>E38*1*12</f>
        <v>0</v>
      </c>
      <c r="H38" s="57" t="s">
        <v>204</v>
      </c>
      <c r="I38" s="53" t="s">
        <v>488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  <row r="39" spans="1:25" ht="40.5" customHeight="1" thickBot="1">
      <c r="A39" s="97"/>
      <c r="B39" s="562" t="s">
        <v>441</v>
      </c>
      <c r="C39" s="565" t="s">
        <v>442</v>
      </c>
      <c r="D39" s="137"/>
      <c r="E39" s="136">
        <f>Cadastro!E42</f>
        <v>0</v>
      </c>
      <c r="F39" s="107" t="s">
        <v>601</v>
      </c>
      <c r="G39" s="560">
        <f>E39*E40*12</f>
        <v>0</v>
      </c>
      <c r="H39" s="558" t="s">
        <v>204</v>
      </c>
      <c r="I39" s="435" t="s">
        <v>488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</row>
    <row r="40" spans="1:25" ht="40.5" customHeight="1">
      <c r="A40" s="97"/>
      <c r="B40" s="563"/>
      <c r="C40" s="566"/>
      <c r="D40" s="137"/>
      <c r="E40" s="37"/>
      <c r="F40" s="115" t="s">
        <v>422</v>
      </c>
      <c r="G40" s="561"/>
      <c r="H40" s="559"/>
      <c r="I40" s="52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</row>
    <row r="41" spans="1:25" ht="81.75" customHeight="1">
      <c r="A41" s="97"/>
      <c r="B41" s="138" t="s">
        <v>136</v>
      </c>
      <c r="C41" s="134" t="s">
        <v>137</v>
      </c>
      <c r="D41" s="119"/>
      <c r="E41" s="555" t="s">
        <v>480</v>
      </c>
      <c r="F41" s="555"/>
      <c r="G41" s="555"/>
      <c r="H41" s="555"/>
      <c r="I41" s="556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25" ht="68.25" customHeight="1">
      <c r="A42" s="97"/>
      <c r="B42" s="72" t="s">
        <v>142</v>
      </c>
      <c r="C42" s="125" t="s">
        <v>139</v>
      </c>
      <c r="D42" s="119"/>
      <c r="E42" s="538" t="s">
        <v>481</v>
      </c>
      <c r="F42" s="538"/>
      <c r="G42" s="538"/>
      <c r="H42" s="538"/>
      <c r="I42" s="539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</row>
    <row r="43" spans="1:25" ht="14.25">
      <c r="A43" s="97"/>
      <c r="B43" s="97"/>
      <c r="C43" s="97"/>
      <c r="D43" s="42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</row>
    <row r="44" spans="1:25" ht="14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</row>
    <row r="45" s="97" customFormat="1" ht="14.25"/>
    <row r="46" s="97" customFormat="1" ht="14.25"/>
    <row r="47" s="97" customFormat="1" ht="14.25"/>
    <row r="48" s="97" customFormat="1" ht="14.25"/>
    <row r="49" s="97" customFormat="1" ht="14.25"/>
    <row r="50" s="97" customFormat="1" ht="14.25"/>
    <row r="51" s="97" customFormat="1" ht="14.25"/>
    <row r="52" s="97" customFormat="1" ht="14.25"/>
    <row r="53" s="97" customFormat="1" ht="14.25"/>
    <row r="54" s="97" customFormat="1" ht="14.25"/>
    <row r="55" s="97" customFormat="1" ht="14.25"/>
    <row r="56" s="97" customFormat="1" ht="14.25"/>
    <row r="57" s="97" customFormat="1" ht="14.25"/>
    <row r="58" s="97" customFormat="1" ht="14.25"/>
    <row r="59" s="97" customFormat="1" ht="14.25"/>
    <row r="60" s="97" customFormat="1" ht="14.25"/>
    <row r="61" s="97" customFormat="1" ht="14.25"/>
    <row r="62" s="97" customFormat="1" ht="14.25"/>
    <row r="63" s="97" customFormat="1" ht="14.25"/>
    <row r="64" s="97" customFormat="1" ht="14.25"/>
    <row r="65" s="97" customFormat="1" ht="14.25"/>
    <row r="66" s="97" customFormat="1" ht="14.25"/>
    <row r="67" s="97" customFormat="1" ht="14.25"/>
    <row r="68" s="97" customFormat="1" ht="14.25"/>
    <row r="69" s="97" customFormat="1" ht="14.25"/>
    <row r="70" s="97" customFormat="1" ht="14.25"/>
    <row r="71" s="97" customFormat="1" ht="14.25"/>
    <row r="72" s="97" customFormat="1" ht="14.25"/>
    <row r="73" s="97" customFormat="1" ht="14.25"/>
    <row r="74" s="97" customFormat="1" ht="14.25"/>
    <row r="75" s="97" customFormat="1" ht="14.25"/>
    <row r="76" s="97" customFormat="1" ht="14.25"/>
    <row r="77" s="97" customFormat="1" ht="14.25"/>
    <row r="78" s="97" customFormat="1" ht="14.25"/>
    <row r="79" s="97" customFormat="1" ht="14.25"/>
    <row r="80" s="97" customFormat="1" ht="14.25"/>
    <row r="81" s="97" customFormat="1" ht="14.25"/>
    <row r="82" s="97" customFormat="1" ht="14.25"/>
    <row r="83" s="97" customFormat="1" ht="14.25"/>
    <row r="84" s="97" customFormat="1" ht="14.25"/>
    <row r="85" s="97" customFormat="1" ht="14.25"/>
    <row r="86" s="97" customFormat="1" ht="14.25"/>
    <row r="87" s="97" customFormat="1" ht="14.25"/>
  </sheetData>
  <sheetProtection sheet="1" objects="1" scenarios="1"/>
  <mergeCells count="30">
    <mergeCell ref="B39:B40"/>
    <mergeCell ref="B34:I34"/>
    <mergeCell ref="C29:D29"/>
    <mergeCell ref="E31:I31"/>
    <mergeCell ref="E32:I32"/>
    <mergeCell ref="C39:C40"/>
    <mergeCell ref="E5:H5"/>
    <mergeCell ref="C22:F26"/>
    <mergeCell ref="E41:I41"/>
    <mergeCell ref="E42:I42"/>
    <mergeCell ref="C30:D30"/>
    <mergeCell ref="C31:D31"/>
    <mergeCell ref="C32:D32"/>
    <mergeCell ref="I39:I40"/>
    <mergeCell ref="H39:H40"/>
    <mergeCell ref="G39:G40"/>
    <mergeCell ref="B22:B26"/>
    <mergeCell ref="E17:I17"/>
    <mergeCell ref="C27:F27"/>
    <mergeCell ref="C28:F28"/>
    <mergeCell ref="B1:I1"/>
    <mergeCell ref="B20:I20"/>
    <mergeCell ref="E18:I18"/>
    <mergeCell ref="B2:I2"/>
    <mergeCell ref="B7:I7"/>
    <mergeCell ref="B13:I13"/>
    <mergeCell ref="E4:I4"/>
    <mergeCell ref="B4:C4"/>
    <mergeCell ref="E11:I11"/>
    <mergeCell ref="E10:I10"/>
  </mergeCells>
  <printOptions/>
  <pageMargins left="0.5" right="0.32" top="0.52" bottom="0.33" header="0.492125985" footer="0.31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/>
  <dimension ref="A1:AV96"/>
  <sheetViews>
    <sheetView zoomScale="67" zoomScaleNormal="67" zoomScaleSheetLayoutView="75" workbookViewId="0" topLeftCell="A1">
      <selection activeCell="B7" sqref="B7:D7"/>
    </sheetView>
  </sheetViews>
  <sheetFormatPr defaultColWidth="9.140625" defaultRowHeight="12.75"/>
  <cols>
    <col min="1" max="1" width="2.7109375" style="351" customWidth="1"/>
    <col min="2" max="2" width="22.28125" style="351" customWidth="1"/>
    <col min="3" max="3" width="10.00390625" style="351" hidden="1" customWidth="1"/>
    <col min="4" max="4" width="14.140625" style="351" customWidth="1"/>
    <col min="5" max="5" width="8.00390625" style="351" hidden="1" customWidth="1"/>
    <col min="6" max="6" width="14.28125" style="351" customWidth="1"/>
    <col min="7" max="7" width="13.7109375" style="351" customWidth="1"/>
    <col min="8" max="8" width="9.8515625" style="351" hidden="1" customWidth="1"/>
    <col min="9" max="9" width="16.140625" style="351" customWidth="1"/>
    <col min="10" max="10" width="7.8515625" style="351" hidden="1" customWidth="1"/>
    <col min="11" max="11" width="14.28125" style="351" customWidth="1"/>
    <col min="12" max="12" width="1.421875" style="351" customWidth="1"/>
    <col min="13" max="13" width="7.57421875" style="351" hidden="1" customWidth="1"/>
    <col min="14" max="14" width="16.421875" style="351" customWidth="1"/>
    <col min="15" max="15" width="14.7109375" style="351" customWidth="1"/>
    <col min="16" max="16" width="14.57421875" style="351" customWidth="1"/>
    <col min="17" max="18" width="16.421875" style="351" customWidth="1"/>
    <col min="19" max="20" width="14.7109375" style="351" customWidth="1"/>
    <col min="21" max="21" width="12.00390625" style="351" bestFit="1" customWidth="1"/>
    <col min="22" max="48" width="9.140625" style="172" customWidth="1"/>
    <col min="49" max="16384" width="9.140625" style="351" customWidth="1"/>
  </cols>
  <sheetData>
    <row r="1" spans="1:21" ht="15" customHeight="1" thickBo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6" ht="39.75" customHeight="1">
      <c r="A2" s="172"/>
      <c r="B2" s="466" t="s">
        <v>255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8"/>
      <c r="U2" s="218"/>
      <c r="V2" s="218"/>
      <c r="W2" s="218"/>
      <c r="X2" s="218"/>
      <c r="Y2" s="218"/>
      <c r="Z2" s="218"/>
    </row>
    <row r="3" spans="1:48" s="352" customFormat="1" ht="15" customHeight="1" thickBot="1">
      <c r="A3" s="172"/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150"/>
      <c r="M3" s="150"/>
      <c r="N3" s="150"/>
      <c r="O3" s="150"/>
      <c r="P3" s="150"/>
      <c r="Q3" s="150"/>
      <c r="R3" s="150"/>
      <c r="S3" s="150"/>
      <c r="T3" s="150"/>
      <c r="U3" s="218"/>
      <c r="V3" s="218"/>
      <c r="W3" s="218"/>
      <c r="X3" s="218"/>
      <c r="Y3" s="218"/>
      <c r="Z3" s="218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</row>
    <row r="4" spans="1:21" ht="27" customHeight="1">
      <c r="A4" s="172"/>
      <c r="B4" s="567" t="s">
        <v>391</v>
      </c>
      <c r="C4" s="577"/>
      <c r="D4" s="568"/>
      <c r="E4" s="568"/>
      <c r="F4" s="568"/>
      <c r="G4" s="568"/>
      <c r="H4" s="568"/>
      <c r="I4" s="568"/>
      <c r="J4" s="578"/>
      <c r="K4" s="569"/>
      <c r="L4" s="150"/>
      <c r="M4" s="150"/>
      <c r="N4" s="567" t="s">
        <v>353</v>
      </c>
      <c r="O4" s="568"/>
      <c r="P4" s="568"/>
      <c r="Q4" s="568"/>
      <c r="R4" s="568"/>
      <c r="S4" s="568"/>
      <c r="T4" s="569"/>
      <c r="U4" s="353"/>
    </row>
    <row r="5" spans="1:21" ht="60.75" customHeight="1">
      <c r="A5" s="172"/>
      <c r="B5" s="573" t="s">
        <v>351</v>
      </c>
      <c r="C5" s="501"/>
      <c r="D5" s="491"/>
      <c r="E5" s="151"/>
      <c r="F5" s="143" t="s">
        <v>446</v>
      </c>
      <c r="G5" s="143" t="s">
        <v>444</v>
      </c>
      <c r="H5" s="143"/>
      <c r="I5" s="143" t="s">
        <v>159</v>
      </c>
      <c r="J5" s="227"/>
      <c r="K5" s="147" t="s">
        <v>445</v>
      </c>
      <c r="L5" s="152"/>
      <c r="M5" s="152"/>
      <c r="N5" s="573" t="s">
        <v>351</v>
      </c>
      <c r="O5" s="491"/>
      <c r="P5" s="151" t="s">
        <v>357</v>
      </c>
      <c r="Q5" s="151" t="s">
        <v>356</v>
      </c>
      <c r="R5" s="151" t="s">
        <v>355</v>
      </c>
      <c r="S5" s="491" t="s">
        <v>354</v>
      </c>
      <c r="T5" s="651"/>
      <c r="U5" s="172"/>
    </row>
    <row r="6" spans="1:21" ht="15" customHeight="1" thickBot="1">
      <c r="A6" s="17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72"/>
    </row>
    <row r="7" spans="1:21" ht="30" customHeight="1">
      <c r="A7" s="172"/>
      <c r="B7" s="574" t="s">
        <v>206</v>
      </c>
      <c r="C7" s="575"/>
      <c r="D7" s="576"/>
      <c r="E7" s="217"/>
      <c r="F7" s="32"/>
      <c r="G7" s="153" t="e">
        <f>60/F7</f>
        <v>#DIV/0!</v>
      </c>
      <c r="H7" s="221"/>
      <c r="I7" s="359"/>
      <c r="J7" s="360"/>
      <c r="K7" s="361"/>
      <c r="L7" s="152"/>
      <c r="M7" s="152"/>
      <c r="N7" s="574" t="s">
        <v>206</v>
      </c>
      <c r="O7" s="641"/>
      <c r="P7" s="154" t="e">
        <f>K7*I7*G7</f>
        <v>#DIV/0!</v>
      </c>
      <c r="Q7" s="154" t="e">
        <f>P7*5</f>
        <v>#DIV/0!</v>
      </c>
      <c r="R7" s="154" t="e">
        <f>Q7*4</f>
        <v>#DIV/0!</v>
      </c>
      <c r="S7" s="493" t="e">
        <f>R7*11</f>
        <v>#DIV/0!</v>
      </c>
      <c r="T7" s="629"/>
      <c r="U7" s="172"/>
    </row>
    <row r="8" spans="1:21" ht="30" customHeight="1">
      <c r="A8" s="172"/>
      <c r="B8" s="582" t="s">
        <v>188</v>
      </c>
      <c r="C8" s="583"/>
      <c r="D8" s="584"/>
      <c r="E8" s="204"/>
      <c r="F8" s="35"/>
      <c r="G8" s="155" t="e">
        <f>60/F8</f>
        <v>#DIV/0!</v>
      </c>
      <c r="H8" s="220"/>
      <c r="I8" s="362"/>
      <c r="J8" s="363"/>
      <c r="K8" s="364"/>
      <c r="L8" s="152"/>
      <c r="M8" s="152"/>
      <c r="N8" s="582" t="s">
        <v>188</v>
      </c>
      <c r="O8" s="642"/>
      <c r="P8" s="156" t="e">
        <f>K8*I8*G8</f>
        <v>#DIV/0!</v>
      </c>
      <c r="Q8" s="156" t="e">
        <f>P8*5</f>
        <v>#DIV/0!</v>
      </c>
      <c r="R8" s="157" t="e">
        <f>Q8*4</f>
        <v>#DIV/0!</v>
      </c>
      <c r="S8" s="630" t="e">
        <f>R8*11</f>
        <v>#DIV/0!</v>
      </c>
      <c r="T8" s="631"/>
      <c r="U8" s="172"/>
    </row>
    <row r="9" spans="1:21" ht="30" customHeight="1">
      <c r="A9" s="172"/>
      <c r="B9" s="582" t="s">
        <v>390</v>
      </c>
      <c r="C9" s="583"/>
      <c r="D9" s="584"/>
      <c r="E9" s="204"/>
      <c r="F9" s="35"/>
      <c r="G9" s="158" t="e">
        <f>60/F9</f>
        <v>#DIV/0!</v>
      </c>
      <c r="H9" s="152"/>
      <c r="I9" s="362"/>
      <c r="J9" s="363"/>
      <c r="K9" s="364"/>
      <c r="L9" s="152"/>
      <c r="M9" s="152"/>
      <c r="N9" s="585" t="s">
        <v>390</v>
      </c>
      <c r="O9" s="586"/>
      <c r="P9" s="156" t="e">
        <f>K9*I9*G9</f>
        <v>#DIV/0!</v>
      </c>
      <c r="Q9" s="156" t="e">
        <f>P9*5</f>
        <v>#DIV/0!</v>
      </c>
      <c r="R9" s="156" t="e">
        <f>Q9*4</f>
        <v>#DIV/0!</v>
      </c>
      <c r="S9" s="630" t="e">
        <f>R9*11</f>
        <v>#DIV/0!</v>
      </c>
      <c r="T9" s="631"/>
      <c r="U9" s="172"/>
    </row>
    <row r="10" spans="1:21" ht="30" customHeight="1">
      <c r="A10" s="172"/>
      <c r="B10" s="579" t="s">
        <v>186</v>
      </c>
      <c r="C10" s="580"/>
      <c r="D10" s="581"/>
      <c r="E10" s="203"/>
      <c r="F10" s="33"/>
      <c r="G10" s="159" t="e">
        <f>60/F10</f>
        <v>#DIV/0!</v>
      </c>
      <c r="H10" s="223"/>
      <c r="I10" s="365"/>
      <c r="J10" s="366"/>
      <c r="K10" s="367"/>
      <c r="L10" s="152"/>
      <c r="M10" s="152"/>
      <c r="N10" s="579" t="s">
        <v>186</v>
      </c>
      <c r="O10" s="610"/>
      <c r="P10" s="151" t="e">
        <f>K10*I10*G10</f>
        <v>#DIV/0!</v>
      </c>
      <c r="Q10" s="151" t="e">
        <f>P10*5</f>
        <v>#DIV/0!</v>
      </c>
      <c r="R10" s="151" t="e">
        <f>Q10*4</f>
        <v>#DIV/0!</v>
      </c>
      <c r="S10" s="617" t="e">
        <f>R10*11</f>
        <v>#DIV/0!</v>
      </c>
      <c r="T10" s="618"/>
      <c r="U10" s="172"/>
    </row>
    <row r="11" spans="1:48" s="352" customFormat="1" ht="15" customHeight="1" thickBot="1">
      <c r="A11" s="172"/>
      <c r="B11" s="160"/>
      <c r="C11" s="161"/>
      <c r="D11" s="161"/>
      <c r="E11" s="161"/>
      <c r="F11" s="152"/>
      <c r="G11" s="152"/>
      <c r="H11" s="152"/>
      <c r="I11" s="152"/>
      <c r="J11" s="152"/>
      <c r="K11" s="152"/>
      <c r="L11" s="152"/>
      <c r="M11" s="152"/>
      <c r="N11" s="161"/>
      <c r="O11" s="161"/>
      <c r="P11" s="152"/>
      <c r="Q11" s="152"/>
      <c r="R11" s="152"/>
      <c r="S11" s="152"/>
      <c r="T11" s="15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</row>
    <row r="12" spans="1:21" ht="30" customHeight="1">
      <c r="A12" s="172"/>
      <c r="B12" s="613" t="s">
        <v>161</v>
      </c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5"/>
      <c r="U12" s="354"/>
    </row>
    <row r="13" spans="1:21" ht="15" customHeight="1" thickBot="1">
      <c r="A13" s="172"/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150"/>
      <c r="M13" s="150"/>
      <c r="N13" s="355"/>
      <c r="O13" s="355"/>
      <c r="P13" s="355"/>
      <c r="Q13" s="355"/>
      <c r="R13" s="355"/>
      <c r="S13" s="355"/>
      <c r="T13" s="355"/>
      <c r="U13" s="218"/>
    </row>
    <row r="14" spans="1:21" ht="31.5" customHeight="1">
      <c r="A14" s="172"/>
      <c r="B14" s="611" t="s">
        <v>184</v>
      </c>
      <c r="C14" s="625"/>
      <c r="D14" s="612"/>
      <c r="E14" s="350"/>
      <c r="F14" s="146" t="s">
        <v>162</v>
      </c>
      <c r="G14" s="612" t="s">
        <v>376</v>
      </c>
      <c r="H14" s="612"/>
      <c r="I14" s="612"/>
      <c r="J14" s="626"/>
      <c r="K14" s="616"/>
      <c r="L14" s="162"/>
      <c r="M14" s="152"/>
      <c r="N14" s="611" t="s">
        <v>184</v>
      </c>
      <c r="O14" s="612"/>
      <c r="P14" s="612"/>
      <c r="Q14" s="146" t="s">
        <v>162</v>
      </c>
      <c r="R14" s="612" t="s">
        <v>376</v>
      </c>
      <c r="S14" s="612"/>
      <c r="T14" s="616"/>
      <c r="U14" s="172"/>
    </row>
    <row r="15" spans="1:21" ht="15" customHeight="1" thickBot="1">
      <c r="A15" s="172"/>
      <c r="B15" s="152"/>
      <c r="C15" s="152"/>
      <c r="D15" s="152"/>
      <c r="E15" s="152"/>
      <c r="F15" s="152"/>
      <c r="G15" s="152"/>
      <c r="H15" s="152"/>
      <c r="I15" s="152"/>
      <c r="J15" s="152"/>
      <c r="K15" s="163"/>
      <c r="L15" s="152"/>
      <c r="M15" s="152"/>
      <c r="N15" s="152"/>
      <c r="O15" s="152"/>
      <c r="P15" s="152"/>
      <c r="Q15" s="152"/>
      <c r="R15" s="152"/>
      <c r="S15" s="152"/>
      <c r="T15" s="163"/>
      <c r="U15" s="172"/>
    </row>
    <row r="16" spans="1:21" ht="32.25" customHeight="1">
      <c r="A16" s="172"/>
      <c r="B16" s="574" t="s">
        <v>371</v>
      </c>
      <c r="C16" s="575"/>
      <c r="D16" s="576"/>
      <c r="E16" s="217"/>
      <c r="F16" s="32"/>
      <c r="G16" s="164" t="e">
        <f>F16/F7</f>
        <v>#DIV/0!</v>
      </c>
      <c r="H16" s="152"/>
      <c r="I16" s="633" t="s">
        <v>372</v>
      </c>
      <c r="J16" s="633"/>
      <c r="K16" s="634"/>
      <c r="L16" s="165"/>
      <c r="M16" s="152"/>
      <c r="N16" s="623" t="s">
        <v>160</v>
      </c>
      <c r="O16" s="623"/>
      <c r="P16" s="624"/>
      <c r="Q16" s="643"/>
      <c r="R16" s="645" t="e">
        <f>Q16/F8</f>
        <v>#DIV/0!</v>
      </c>
      <c r="S16" s="621" t="s">
        <v>375</v>
      </c>
      <c r="T16" s="622"/>
      <c r="U16" s="172"/>
    </row>
    <row r="17" spans="1:21" ht="32.25" customHeight="1">
      <c r="A17" s="172"/>
      <c r="B17" s="582" t="s">
        <v>378</v>
      </c>
      <c r="C17" s="583"/>
      <c r="D17" s="584"/>
      <c r="E17" s="204"/>
      <c r="F17" s="35"/>
      <c r="G17" s="166" t="e">
        <f>F17/F7</f>
        <v>#DIV/0!</v>
      </c>
      <c r="H17" s="220"/>
      <c r="I17" s="627" t="s">
        <v>372</v>
      </c>
      <c r="J17" s="627"/>
      <c r="K17" s="628"/>
      <c r="L17" s="165"/>
      <c r="M17" s="152"/>
      <c r="N17" s="623"/>
      <c r="O17" s="623"/>
      <c r="P17" s="624"/>
      <c r="Q17" s="644"/>
      <c r="R17" s="646"/>
      <c r="S17" s="621"/>
      <c r="T17" s="622"/>
      <c r="U17" s="172"/>
    </row>
    <row r="18" spans="1:21" ht="32.25" customHeight="1">
      <c r="A18" s="172"/>
      <c r="B18" s="582" t="s">
        <v>195</v>
      </c>
      <c r="C18" s="583"/>
      <c r="D18" s="584"/>
      <c r="E18" s="204"/>
      <c r="F18" s="35"/>
      <c r="G18" s="166" t="e">
        <f>F18/F7</f>
        <v>#DIV/0!</v>
      </c>
      <c r="H18" s="224"/>
      <c r="I18" s="635" t="s">
        <v>372</v>
      </c>
      <c r="J18" s="635"/>
      <c r="K18" s="636"/>
      <c r="L18" s="165"/>
      <c r="M18" s="152"/>
      <c r="N18" s="647" t="s">
        <v>198</v>
      </c>
      <c r="O18" s="647"/>
      <c r="P18" s="648"/>
      <c r="Q18" s="35"/>
      <c r="R18" s="165" t="e">
        <f>Q18/F8</f>
        <v>#DIV/0!</v>
      </c>
      <c r="S18" s="639" t="s">
        <v>375</v>
      </c>
      <c r="T18" s="640"/>
      <c r="U18" s="172"/>
    </row>
    <row r="19" spans="1:21" ht="32.25" customHeight="1">
      <c r="A19" s="172"/>
      <c r="B19" s="582" t="s">
        <v>373</v>
      </c>
      <c r="C19" s="583"/>
      <c r="D19" s="584"/>
      <c r="E19" s="204"/>
      <c r="F19" s="35"/>
      <c r="G19" s="167" t="e">
        <f>F19/F8</f>
        <v>#DIV/0!</v>
      </c>
      <c r="H19" s="224"/>
      <c r="I19" s="627" t="s">
        <v>375</v>
      </c>
      <c r="J19" s="627"/>
      <c r="K19" s="628"/>
      <c r="L19" s="152"/>
      <c r="M19" s="152"/>
      <c r="N19" s="647" t="s">
        <v>379</v>
      </c>
      <c r="O19" s="647"/>
      <c r="P19" s="648"/>
      <c r="Q19" s="35"/>
      <c r="R19" s="166" t="e">
        <f>Q19/F9</f>
        <v>#DIV/0!</v>
      </c>
      <c r="S19" s="654" t="s">
        <v>380</v>
      </c>
      <c r="T19" s="655"/>
      <c r="U19" s="172"/>
    </row>
    <row r="20" spans="1:21" ht="32.25" customHeight="1">
      <c r="A20" s="172"/>
      <c r="B20" s="582" t="s">
        <v>377</v>
      </c>
      <c r="C20" s="583"/>
      <c r="D20" s="584"/>
      <c r="E20" s="204"/>
      <c r="F20" s="35"/>
      <c r="G20" s="167" t="e">
        <f>F20/F8</f>
        <v>#DIV/0!</v>
      </c>
      <c r="H20" s="224"/>
      <c r="I20" s="627" t="s">
        <v>375</v>
      </c>
      <c r="J20" s="627"/>
      <c r="K20" s="628"/>
      <c r="L20" s="165"/>
      <c r="M20" s="152"/>
      <c r="N20" s="583" t="s">
        <v>197</v>
      </c>
      <c r="O20" s="583"/>
      <c r="P20" s="650"/>
      <c r="Q20" s="35"/>
      <c r="R20" s="165" t="e">
        <f>Q20/F9</f>
        <v>#DIV/0!</v>
      </c>
      <c r="S20" s="639" t="s">
        <v>380</v>
      </c>
      <c r="T20" s="640"/>
      <c r="U20" s="172"/>
    </row>
    <row r="21" spans="1:21" ht="32.25" customHeight="1">
      <c r="A21" s="172"/>
      <c r="B21" s="579" t="s">
        <v>196</v>
      </c>
      <c r="C21" s="580"/>
      <c r="D21" s="581"/>
      <c r="E21" s="203"/>
      <c r="F21" s="33"/>
      <c r="G21" s="168" t="e">
        <f>F21/F8</f>
        <v>#DIV/0!</v>
      </c>
      <c r="H21" s="222"/>
      <c r="I21" s="637" t="s">
        <v>375</v>
      </c>
      <c r="J21" s="637"/>
      <c r="K21" s="638"/>
      <c r="L21" s="165"/>
      <c r="M21" s="152"/>
      <c r="N21" s="580" t="s">
        <v>479</v>
      </c>
      <c r="O21" s="580"/>
      <c r="P21" s="649"/>
      <c r="Q21" s="33"/>
      <c r="R21" s="168" t="e">
        <f>Q21/F10</f>
        <v>#DIV/0!</v>
      </c>
      <c r="S21" s="619" t="s">
        <v>381</v>
      </c>
      <c r="T21" s="620"/>
      <c r="U21" s="172"/>
    </row>
    <row r="22" spans="1:48" s="352" customFormat="1" ht="15" customHeight="1" thickBot="1">
      <c r="A22" s="172"/>
      <c r="B22" s="169"/>
      <c r="C22" s="161"/>
      <c r="D22" s="161"/>
      <c r="E22" s="161"/>
      <c r="F22" s="152"/>
      <c r="G22" s="163"/>
      <c r="H22" s="152"/>
      <c r="I22" s="152"/>
      <c r="J22" s="152"/>
      <c r="K22" s="152"/>
      <c r="L22" s="152"/>
      <c r="M22" s="152"/>
      <c r="N22" s="161"/>
      <c r="O22" s="161"/>
      <c r="P22" s="161"/>
      <c r="Q22" s="152"/>
      <c r="R22" s="152"/>
      <c r="S22" s="161"/>
      <c r="T22" s="169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</row>
    <row r="23" spans="1:21" ht="41.25" customHeight="1">
      <c r="A23" s="172"/>
      <c r="B23" s="570" t="s">
        <v>392</v>
      </c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2"/>
      <c r="U23" s="172"/>
    </row>
    <row r="24" spans="1:21" ht="15" customHeight="1" thickBot="1">
      <c r="A24" s="172"/>
      <c r="B24" s="231"/>
      <c r="C24" s="231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172"/>
    </row>
    <row r="25" spans="1:21" ht="30" customHeight="1" thickBot="1">
      <c r="A25" s="172"/>
      <c r="B25" s="170"/>
      <c r="C25" s="218"/>
      <c r="D25" s="567" t="s">
        <v>163</v>
      </c>
      <c r="E25" s="577"/>
      <c r="F25" s="568"/>
      <c r="G25" s="568"/>
      <c r="H25" s="568"/>
      <c r="I25" s="568"/>
      <c r="J25" s="568"/>
      <c r="K25" s="568"/>
      <c r="L25" s="568"/>
      <c r="M25" s="568"/>
      <c r="N25" s="568"/>
      <c r="O25" s="568"/>
      <c r="P25" s="568"/>
      <c r="Q25" s="568"/>
      <c r="R25" s="568"/>
      <c r="S25" s="568"/>
      <c r="T25" s="569"/>
      <c r="U25" s="172"/>
    </row>
    <row r="26" spans="1:21" ht="84" customHeight="1">
      <c r="A26" s="172"/>
      <c r="B26" s="171"/>
      <c r="C26" s="230" t="s">
        <v>431</v>
      </c>
      <c r="D26" s="192" t="s">
        <v>367</v>
      </c>
      <c r="E26" s="229" t="s">
        <v>431</v>
      </c>
      <c r="F26" s="143" t="s">
        <v>370</v>
      </c>
      <c r="G26" s="143" t="s">
        <v>190</v>
      </c>
      <c r="H26" s="228" t="s">
        <v>431</v>
      </c>
      <c r="I26" s="143" t="s">
        <v>368</v>
      </c>
      <c r="J26" s="228" t="s">
        <v>431</v>
      </c>
      <c r="K26" s="663" t="s">
        <v>369</v>
      </c>
      <c r="L26" s="663"/>
      <c r="M26" s="143"/>
      <c r="N26" s="143" t="s">
        <v>447</v>
      </c>
      <c r="O26" s="143" t="s">
        <v>191</v>
      </c>
      <c r="P26" s="143" t="s">
        <v>192</v>
      </c>
      <c r="Q26" s="143" t="s">
        <v>448</v>
      </c>
      <c r="R26" s="143" t="s">
        <v>194</v>
      </c>
      <c r="S26" s="143" t="s">
        <v>193</v>
      </c>
      <c r="T26" s="147" t="s">
        <v>164</v>
      </c>
      <c r="U26" s="172"/>
    </row>
    <row r="27" spans="1:21" ht="15" customHeight="1">
      <c r="A27" s="172"/>
      <c r="B27" s="172"/>
      <c r="C27" s="17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72"/>
    </row>
    <row r="28" spans="1:21" ht="30" customHeight="1">
      <c r="A28" s="172"/>
      <c r="B28" s="197" t="s">
        <v>358</v>
      </c>
      <c r="C28" s="197"/>
      <c r="D28" s="173">
        <f>CRIANÇA!I11+CRIANÇA!I19+CRIANÇA!I21+CRIANÇA!I23</f>
        <v>0</v>
      </c>
      <c r="E28" s="173"/>
      <c r="F28" s="173">
        <f>CRIANÇA!I14+CRIANÇA!I25</f>
        <v>0</v>
      </c>
      <c r="G28" s="173"/>
      <c r="H28" s="173"/>
      <c r="I28" s="173">
        <f>CRIANÇA!I12+CRIANÇA!I20+CRIANÇA!I22+CRIANÇA!I24</f>
        <v>0</v>
      </c>
      <c r="J28" s="173"/>
      <c r="K28" s="498">
        <f>CRIANÇA!I15+CRIANÇA!I26</f>
        <v>0</v>
      </c>
      <c r="L28" s="498"/>
      <c r="M28" s="173"/>
      <c r="N28" s="154">
        <v>0</v>
      </c>
      <c r="O28" s="154"/>
      <c r="P28" s="154"/>
      <c r="Q28" s="173">
        <f>'Outras ações'!G22+'Outras ações'!G27</f>
        <v>0</v>
      </c>
      <c r="R28" s="173"/>
      <c r="S28" s="173"/>
      <c r="T28" s="207">
        <f aca="true" t="shared" si="0" ref="T28:T41">SUM(D28:S28)</f>
        <v>0</v>
      </c>
      <c r="U28" s="172"/>
    </row>
    <row r="29" spans="1:21" ht="30" customHeight="1">
      <c r="A29" s="172"/>
      <c r="B29" s="198" t="s">
        <v>359</v>
      </c>
      <c r="C29" s="226">
        <f>'Sit.Saúde'!E71*21.72%+Cadastro!G12*'Sit.Saúde'!D16*ADOLESCENTE!F21</f>
        <v>0</v>
      </c>
      <c r="D29" s="174">
        <f>ADOLESCENTE!I9+ADOLESCENTE!I17+ADOLESCENTE!I21-C29</f>
        <v>0</v>
      </c>
      <c r="E29" s="174"/>
      <c r="F29" s="174">
        <f>ADOLESCENTE!I10+ADOLESCENTE!I19</f>
        <v>0</v>
      </c>
      <c r="G29" s="174"/>
      <c r="H29" s="216">
        <f>'Sit.Saúde'!E71*21.72%</f>
        <v>0</v>
      </c>
      <c r="I29" s="174">
        <f>ADOLESCENTE!I18+ADOLESCENTE!I22-H29</f>
        <v>0</v>
      </c>
      <c r="J29" s="174"/>
      <c r="K29" s="506">
        <f>ADOLESCENTE!I11+ADOLESCENTE!I20</f>
        <v>0</v>
      </c>
      <c r="L29" s="506"/>
      <c r="M29" s="174"/>
      <c r="N29" s="156"/>
      <c r="O29" s="156"/>
      <c r="P29" s="156"/>
      <c r="Q29" s="174">
        <f>'Outras ações'!G23</f>
        <v>0</v>
      </c>
      <c r="R29" s="174"/>
      <c r="S29" s="156"/>
      <c r="T29" s="175">
        <f t="shared" si="0"/>
        <v>0</v>
      </c>
      <c r="U29" s="172"/>
    </row>
    <row r="30" spans="1:21" ht="30" customHeight="1">
      <c r="A30" s="172"/>
      <c r="B30" s="198" t="s">
        <v>483</v>
      </c>
      <c r="C30" s="198"/>
      <c r="D30" s="174">
        <f>ADULTO!I18+ADULTO!I19+ADULTO!I21</f>
        <v>0</v>
      </c>
      <c r="E30" s="174"/>
      <c r="F30" s="174">
        <f>ADULTO!I9+ADULTO!I11+ADULTO!I13</f>
        <v>0</v>
      </c>
      <c r="G30" s="174"/>
      <c r="H30" s="174"/>
      <c r="I30" s="174">
        <f>ADULTO!I20+ADULTO!I22</f>
        <v>0</v>
      </c>
      <c r="J30" s="174"/>
      <c r="K30" s="506">
        <f>ADULTO!I10+ADULTO!I12+ADULTO!I14</f>
        <v>0</v>
      </c>
      <c r="L30" s="506"/>
      <c r="M30" s="174"/>
      <c r="N30" s="174">
        <f>ADULTO!I15+ADULTO!I16+ADULTO!I17</f>
        <v>0</v>
      </c>
      <c r="O30" s="174"/>
      <c r="P30" s="174"/>
      <c r="Q30" s="156"/>
      <c r="R30" s="156"/>
      <c r="S30" s="174"/>
      <c r="T30" s="175">
        <f t="shared" si="0"/>
        <v>0</v>
      </c>
      <c r="U30" s="172"/>
    </row>
    <row r="31" spans="1:21" ht="30" customHeight="1">
      <c r="A31" s="172"/>
      <c r="B31" s="198" t="s">
        <v>486</v>
      </c>
      <c r="C31" s="198"/>
      <c r="D31" s="174">
        <f>ADULTO!I36+ADULTO!I37+ADULTO!I38</f>
        <v>0</v>
      </c>
      <c r="E31" s="174"/>
      <c r="F31" s="174">
        <f>ADULTO!I27+ADULTO!I29+ADULTO!I31</f>
        <v>0</v>
      </c>
      <c r="G31" s="174"/>
      <c r="H31" s="174"/>
      <c r="I31" s="174">
        <f>ADULTO!I39</f>
        <v>0</v>
      </c>
      <c r="J31" s="174"/>
      <c r="K31" s="506">
        <f>ADULTO!I28+ADULTO!I30+ADULTO!I32</f>
        <v>0</v>
      </c>
      <c r="L31" s="506"/>
      <c r="M31" s="174"/>
      <c r="N31" s="174">
        <f>ADULTO!I33+ADULTO!I34+ADULTO!I35</f>
        <v>0</v>
      </c>
      <c r="O31" s="174"/>
      <c r="P31" s="174"/>
      <c r="Q31" s="156"/>
      <c r="R31" s="156"/>
      <c r="S31" s="174"/>
      <c r="T31" s="175">
        <f t="shared" si="0"/>
        <v>0</v>
      </c>
      <c r="U31" s="172"/>
    </row>
    <row r="32" spans="1:21" ht="30" customHeight="1">
      <c r="A32" s="172"/>
      <c r="B32" s="198" t="s">
        <v>360</v>
      </c>
      <c r="C32" s="198"/>
      <c r="D32" s="174">
        <f>ADULTO!I44+ADULTO!I45+ADULTO!I47</f>
        <v>0</v>
      </c>
      <c r="E32" s="174"/>
      <c r="F32" s="156"/>
      <c r="G32" s="156"/>
      <c r="H32" s="156"/>
      <c r="I32" s="174">
        <f>ADULTO!I46</f>
        <v>0</v>
      </c>
      <c r="J32" s="174"/>
      <c r="K32" s="505"/>
      <c r="L32" s="505"/>
      <c r="M32" s="156"/>
      <c r="N32" s="156"/>
      <c r="O32" s="156"/>
      <c r="P32" s="156"/>
      <c r="Q32" s="156"/>
      <c r="R32" s="156"/>
      <c r="S32" s="156"/>
      <c r="T32" s="175">
        <f t="shared" si="0"/>
        <v>0</v>
      </c>
      <c r="U32" s="172"/>
    </row>
    <row r="33" spans="1:21" ht="30" customHeight="1">
      <c r="A33" s="172"/>
      <c r="B33" s="198" t="s">
        <v>361</v>
      </c>
      <c r="C33" s="198"/>
      <c r="D33" s="174">
        <f>ADULTO!I52+ADULTO!I54+ADULTO!I57</f>
        <v>0</v>
      </c>
      <c r="E33" s="174"/>
      <c r="F33" s="156"/>
      <c r="G33" s="156"/>
      <c r="H33" s="156"/>
      <c r="I33" s="174">
        <f>ADULTO!I55</f>
        <v>0</v>
      </c>
      <c r="J33" s="174"/>
      <c r="K33" s="505"/>
      <c r="L33" s="505"/>
      <c r="M33" s="156"/>
      <c r="N33" s="174">
        <f>ADULTO!I51+ADULTO!I53</f>
        <v>0</v>
      </c>
      <c r="O33" s="174"/>
      <c r="P33" s="174"/>
      <c r="Q33" s="174">
        <f>'Outras ações'!G28</f>
        <v>0</v>
      </c>
      <c r="R33" s="174"/>
      <c r="S33" s="156"/>
      <c r="T33" s="175">
        <f t="shared" si="0"/>
        <v>0</v>
      </c>
      <c r="U33" s="172"/>
    </row>
    <row r="34" spans="1:21" ht="30" customHeight="1">
      <c r="A34" s="172"/>
      <c r="B34" s="198" t="s">
        <v>362</v>
      </c>
      <c r="C34" s="198"/>
      <c r="D34" s="174">
        <f>ADULTO!I62+ADULTO!I63</f>
        <v>0</v>
      </c>
      <c r="E34" s="174"/>
      <c r="F34" s="156"/>
      <c r="G34" s="156"/>
      <c r="H34" s="156"/>
      <c r="I34" s="174">
        <f>ADULTO!I61</f>
        <v>0</v>
      </c>
      <c r="J34" s="174"/>
      <c r="K34" s="505"/>
      <c r="L34" s="505"/>
      <c r="M34" s="156"/>
      <c r="N34" s="156"/>
      <c r="O34" s="156"/>
      <c r="P34" s="156"/>
      <c r="Q34" s="156"/>
      <c r="R34" s="156"/>
      <c r="S34" s="156"/>
      <c r="T34" s="175">
        <f t="shared" si="0"/>
        <v>0</v>
      </c>
      <c r="U34" s="172"/>
    </row>
    <row r="35" spans="1:21" ht="30" customHeight="1">
      <c r="A35" s="172"/>
      <c r="B35" s="198" t="s">
        <v>363</v>
      </c>
      <c r="C35" s="226">
        <f>(ADULTO!G67+ADULTO!G69)*20%</f>
        <v>0</v>
      </c>
      <c r="D35" s="174">
        <f>(ADULTO!I67+ADULTO!I69)-C35</f>
        <v>0</v>
      </c>
      <c r="E35" s="174"/>
      <c r="F35" s="156"/>
      <c r="G35" s="156"/>
      <c r="H35" s="216">
        <f>(ADULTO!G68+ADULTO!G70)*20%</f>
        <v>0</v>
      </c>
      <c r="I35" s="174">
        <f>ADULTO!I68+ADULTO!I70-H35</f>
        <v>0</v>
      </c>
      <c r="J35" s="174"/>
      <c r="K35" s="505"/>
      <c r="L35" s="505"/>
      <c r="M35" s="156"/>
      <c r="N35" s="156"/>
      <c r="O35" s="156"/>
      <c r="P35" s="156"/>
      <c r="Q35" s="156"/>
      <c r="R35" s="156"/>
      <c r="S35" s="156"/>
      <c r="T35" s="175">
        <f t="shared" si="0"/>
        <v>0</v>
      </c>
      <c r="U35" s="172"/>
    </row>
    <row r="36" spans="1:21" ht="30" customHeight="1">
      <c r="A36" s="172"/>
      <c r="B36" s="198" t="s">
        <v>364</v>
      </c>
      <c r="C36" s="198"/>
      <c r="D36" s="174">
        <f>ADULTO!I76+ADULTO!I78</f>
        <v>0</v>
      </c>
      <c r="E36" s="174"/>
      <c r="F36" s="156"/>
      <c r="G36" s="156"/>
      <c r="H36" s="156"/>
      <c r="I36" s="174">
        <f>ADULTO!I77+ADULTO!I79</f>
        <v>0</v>
      </c>
      <c r="J36" s="174"/>
      <c r="K36" s="505"/>
      <c r="L36" s="505"/>
      <c r="M36" s="156"/>
      <c r="N36" s="156"/>
      <c r="O36" s="156"/>
      <c r="P36" s="156"/>
      <c r="Q36" s="156"/>
      <c r="R36" s="156"/>
      <c r="S36" s="156"/>
      <c r="T36" s="175">
        <f t="shared" si="0"/>
        <v>0</v>
      </c>
      <c r="U36" s="274"/>
    </row>
    <row r="37" spans="1:21" ht="30" customHeight="1">
      <c r="A37" s="172"/>
      <c r="B37" s="198" t="s">
        <v>365</v>
      </c>
      <c r="C37" s="198"/>
      <c r="D37" s="174">
        <f>GESTANTE!I9+GESTANTE!I11+GESTANTE!I19</f>
        <v>0</v>
      </c>
      <c r="E37" s="174"/>
      <c r="F37" s="174">
        <f>GESTANTE!I14</f>
        <v>0</v>
      </c>
      <c r="G37" s="174"/>
      <c r="H37" s="174"/>
      <c r="I37" s="174">
        <f>GESTANTE!I10+GESTANTE!I12+GESTANTE!I20</f>
        <v>0</v>
      </c>
      <c r="J37" s="174"/>
      <c r="K37" s="506">
        <f>GESTANTE!I15</f>
        <v>0</v>
      </c>
      <c r="L37" s="506"/>
      <c r="M37" s="174"/>
      <c r="N37" s="156"/>
      <c r="O37" s="156"/>
      <c r="P37" s="156"/>
      <c r="Q37" s="174">
        <f>'Outras ações'!G26</f>
        <v>0</v>
      </c>
      <c r="R37" s="174"/>
      <c r="S37" s="156"/>
      <c r="T37" s="175">
        <f t="shared" si="0"/>
        <v>0</v>
      </c>
      <c r="U37" s="274"/>
    </row>
    <row r="38" spans="1:21" ht="30" customHeight="1">
      <c r="A38" s="172"/>
      <c r="B38" s="198" t="s">
        <v>366</v>
      </c>
      <c r="C38" s="226">
        <f>'Sit.Saúde'!E77*25.2%*IDOSO!F9+('Sit.Saúde'!E78+'Sit.Saúde'!E79)*25.2%*IDOSO!F10*2</f>
        <v>0</v>
      </c>
      <c r="D38" s="174">
        <f>IDOSO!I9+IDOSO!I10-C38</f>
        <v>0</v>
      </c>
      <c r="E38" s="216">
        <f>'Sit.Saúde'!E77*25.2%*IDOSO!F15/20*1</f>
        <v>0</v>
      </c>
      <c r="F38" s="174">
        <f>IDOSO!I15-E38</f>
        <v>0</v>
      </c>
      <c r="G38" s="174"/>
      <c r="H38" s="216">
        <f>('Sit.Saúde'!E78+'Sit.Saúde'!E79)*25.2%*IDOSO!F10</f>
        <v>0</v>
      </c>
      <c r="I38" s="174">
        <f>IDOSO!I11-H38</f>
        <v>0</v>
      </c>
      <c r="J38" s="216">
        <f>'Sit.Saúde'!E77*25.2%*IDOSO!F15/20*1</f>
        <v>0</v>
      </c>
      <c r="K38" s="506">
        <f>IDOSO!I16-J38</f>
        <v>0</v>
      </c>
      <c r="L38" s="506"/>
      <c r="M38" s="216">
        <f>'Sit.Saúde'!E77*25.2%*IDOSO!F17*2</f>
        <v>0</v>
      </c>
      <c r="N38" s="174">
        <f>IDOSO!I17-M38</f>
        <v>0</v>
      </c>
      <c r="O38" s="174"/>
      <c r="P38" s="174"/>
      <c r="Q38" s="174">
        <f>'Outras ações'!G25</f>
        <v>0</v>
      </c>
      <c r="R38" s="174"/>
      <c r="S38" s="156"/>
      <c r="T38" s="175">
        <f t="shared" si="0"/>
        <v>0</v>
      </c>
      <c r="U38" s="172"/>
    </row>
    <row r="39" spans="1:21" ht="30" customHeight="1">
      <c r="A39" s="172"/>
      <c r="B39" s="198" t="s">
        <v>199</v>
      </c>
      <c r="C39" s="198"/>
      <c r="D39" s="174"/>
      <c r="E39" s="174"/>
      <c r="F39" s="174"/>
      <c r="G39" s="174">
        <f>'Outras ações'!G9</f>
        <v>0</v>
      </c>
      <c r="H39" s="174"/>
      <c r="I39" s="174"/>
      <c r="J39" s="174"/>
      <c r="K39" s="506"/>
      <c r="L39" s="506"/>
      <c r="M39" s="174"/>
      <c r="N39" s="174"/>
      <c r="O39" s="174">
        <f>'Outras ações'!G16</f>
        <v>0</v>
      </c>
      <c r="P39" s="174">
        <f>'Outras ações'!G15</f>
        <v>0</v>
      </c>
      <c r="Q39" s="174">
        <f>'Outras ações'!G24+'Outras ações'!G29</f>
        <v>0</v>
      </c>
      <c r="R39" s="174">
        <f>'Outras ações'!G30</f>
        <v>0</v>
      </c>
      <c r="S39" s="174">
        <f>SUM('Outras ações'!G36:G40)</f>
        <v>0</v>
      </c>
      <c r="T39" s="175">
        <f t="shared" si="0"/>
        <v>0</v>
      </c>
      <c r="U39" s="172"/>
    </row>
    <row r="40" spans="1:21" ht="30.75" customHeight="1">
      <c r="A40" s="172"/>
      <c r="B40" s="199" t="s">
        <v>382</v>
      </c>
      <c r="C40" s="199"/>
      <c r="D40" s="174">
        <f>SUM(D28:D39)</f>
        <v>0</v>
      </c>
      <c r="E40" s="174"/>
      <c r="F40" s="174">
        <f aca="true" t="shared" si="1" ref="F40:S40">SUM(F28:F39)</f>
        <v>0</v>
      </c>
      <c r="G40" s="174">
        <f t="shared" si="1"/>
        <v>0</v>
      </c>
      <c r="H40" s="174"/>
      <c r="I40" s="174">
        <f t="shared" si="1"/>
        <v>0</v>
      </c>
      <c r="J40" s="174"/>
      <c r="K40" s="506">
        <f t="shared" si="1"/>
        <v>0</v>
      </c>
      <c r="L40" s="506"/>
      <c r="M40" s="174"/>
      <c r="N40" s="174">
        <f t="shared" si="1"/>
        <v>0</v>
      </c>
      <c r="O40" s="174">
        <f t="shared" si="1"/>
        <v>0</v>
      </c>
      <c r="P40" s="174">
        <f t="shared" si="1"/>
        <v>0</v>
      </c>
      <c r="Q40" s="174">
        <f t="shared" si="1"/>
        <v>0</v>
      </c>
      <c r="R40" s="174">
        <f t="shared" si="1"/>
        <v>0</v>
      </c>
      <c r="S40" s="174">
        <f t="shared" si="1"/>
        <v>0</v>
      </c>
      <c r="T40" s="175">
        <f t="shared" si="0"/>
        <v>0</v>
      </c>
      <c r="U40" s="172"/>
    </row>
    <row r="41" spans="1:21" ht="34.5" customHeight="1">
      <c r="A41" s="172"/>
      <c r="B41" s="200" t="s">
        <v>383</v>
      </c>
      <c r="C41" s="200"/>
      <c r="D41" s="176" t="e">
        <f>D40*G16</f>
        <v>#DIV/0!</v>
      </c>
      <c r="E41" s="176"/>
      <c r="F41" s="176" t="e">
        <f>F40*G17</f>
        <v>#DIV/0!</v>
      </c>
      <c r="G41" s="176" t="e">
        <f>G40*G18</f>
        <v>#DIV/0!</v>
      </c>
      <c r="H41" s="176"/>
      <c r="I41" s="176" t="e">
        <f>I40*G19</f>
        <v>#DIV/0!</v>
      </c>
      <c r="J41" s="176"/>
      <c r="K41" s="659" t="e">
        <f>K40*G20</f>
        <v>#DIV/0!</v>
      </c>
      <c r="L41" s="659"/>
      <c r="M41" s="176"/>
      <c r="N41" s="176" t="e">
        <f>N40*R16</f>
        <v>#DIV/0!</v>
      </c>
      <c r="O41" s="176" t="e">
        <f>O40*G21</f>
        <v>#DIV/0!</v>
      </c>
      <c r="P41" s="176" t="e">
        <f>P40*R18</f>
        <v>#DIV/0!</v>
      </c>
      <c r="Q41" s="176" t="e">
        <f>Q40*R19</f>
        <v>#DIV/0!</v>
      </c>
      <c r="R41" s="176" t="e">
        <f>R40*R20</f>
        <v>#DIV/0!</v>
      </c>
      <c r="S41" s="176" t="e">
        <f>S40*R21</f>
        <v>#DIV/0!</v>
      </c>
      <c r="T41" s="188" t="e">
        <f t="shared" si="0"/>
        <v>#DIV/0!</v>
      </c>
      <c r="U41" s="172"/>
    </row>
    <row r="42" spans="1:21" ht="15" customHeight="1" thickBot="1">
      <c r="A42" s="172"/>
      <c r="B42" s="177"/>
      <c r="C42" s="177"/>
      <c r="D42" s="178"/>
      <c r="E42" s="178"/>
      <c r="F42" s="179"/>
      <c r="G42" s="179"/>
      <c r="H42" s="179"/>
      <c r="I42" s="178"/>
      <c r="J42" s="178"/>
      <c r="K42" s="178"/>
      <c r="L42" s="178"/>
      <c r="M42" s="178"/>
      <c r="N42" s="179"/>
      <c r="O42" s="179"/>
      <c r="P42" s="179"/>
      <c r="Q42" s="178"/>
      <c r="R42" s="179"/>
      <c r="S42" s="179"/>
      <c r="T42" s="178"/>
      <c r="U42" s="172"/>
    </row>
    <row r="43" spans="1:21" ht="38.25" customHeight="1">
      <c r="A43" s="172"/>
      <c r="B43" s="356" t="s">
        <v>383</v>
      </c>
      <c r="C43" s="357"/>
      <c r="D43" s="599" t="s">
        <v>384</v>
      </c>
      <c r="E43" s="599"/>
      <c r="F43" s="599"/>
      <c r="G43" s="600"/>
      <c r="H43" s="357"/>
      <c r="I43" s="599" t="s">
        <v>385</v>
      </c>
      <c r="J43" s="599"/>
      <c r="K43" s="599"/>
      <c r="L43" s="599"/>
      <c r="M43" s="599"/>
      <c r="N43" s="599"/>
      <c r="O43" s="599"/>
      <c r="P43" s="599"/>
      <c r="Q43" s="656" t="s">
        <v>386</v>
      </c>
      <c r="R43" s="600"/>
      <c r="S43" s="357" t="s">
        <v>186</v>
      </c>
      <c r="T43" s="358" t="s">
        <v>525</v>
      </c>
      <c r="U43" s="172"/>
    </row>
    <row r="44" spans="1:21" ht="30" customHeight="1">
      <c r="A44" s="172"/>
      <c r="B44" s="180" t="s">
        <v>354</v>
      </c>
      <c r="C44" s="219"/>
      <c r="D44" s="595" t="e">
        <f>SUM(D41:G41)</f>
        <v>#DIV/0!</v>
      </c>
      <c r="E44" s="596"/>
      <c r="F44" s="597"/>
      <c r="G44" s="598"/>
      <c r="H44" s="225"/>
      <c r="I44" s="595" t="e">
        <f>SUM(I41:P41)</f>
        <v>#DIV/0!</v>
      </c>
      <c r="J44" s="596"/>
      <c r="K44" s="597"/>
      <c r="L44" s="597"/>
      <c r="M44" s="597"/>
      <c r="N44" s="597"/>
      <c r="O44" s="597"/>
      <c r="P44" s="598"/>
      <c r="Q44" s="595" t="e">
        <f>SUM(Q41:R41)</f>
        <v>#DIV/0!</v>
      </c>
      <c r="R44" s="598"/>
      <c r="S44" s="181" t="e">
        <f>SUM(S41)</f>
        <v>#DIV/0!</v>
      </c>
      <c r="T44" s="209" t="e">
        <f>SUM(D44:S44)</f>
        <v>#DIV/0!</v>
      </c>
      <c r="U44" s="172"/>
    </row>
    <row r="45" spans="1:21" ht="30" customHeight="1">
      <c r="A45" s="172"/>
      <c r="B45" s="182" t="s">
        <v>355</v>
      </c>
      <c r="C45" s="220"/>
      <c r="D45" s="507" t="e">
        <f>D44/11</f>
        <v>#DIV/0!</v>
      </c>
      <c r="E45" s="601"/>
      <c r="F45" s="602"/>
      <c r="G45" s="603"/>
      <c r="H45" s="189"/>
      <c r="I45" s="507" t="e">
        <f>I44/11</f>
        <v>#DIV/0!</v>
      </c>
      <c r="J45" s="601"/>
      <c r="K45" s="602"/>
      <c r="L45" s="602"/>
      <c r="M45" s="602"/>
      <c r="N45" s="602"/>
      <c r="O45" s="602"/>
      <c r="P45" s="603"/>
      <c r="Q45" s="652" t="e">
        <f>Q44/11</f>
        <v>#DIV/0!</v>
      </c>
      <c r="R45" s="653"/>
      <c r="S45" s="183" t="e">
        <f>S44/11</f>
        <v>#DIV/0!</v>
      </c>
      <c r="T45" s="210" t="e">
        <f>SUM(D45:S45)</f>
        <v>#DIV/0!</v>
      </c>
      <c r="U45" s="172"/>
    </row>
    <row r="46" spans="1:21" ht="30" customHeight="1">
      <c r="A46" s="172"/>
      <c r="B46" s="182" t="s">
        <v>356</v>
      </c>
      <c r="C46" s="221"/>
      <c r="D46" s="499" t="e">
        <f>D45/4</f>
        <v>#DIV/0!</v>
      </c>
      <c r="E46" s="604"/>
      <c r="F46" s="605"/>
      <c r="G46" s="497"/>
      <c r="H46" s="196"/>
      <c r="I46" s="499" t="e">
        <f>I45/4</f>
        <v>#DIV/0!</v>
      </c>
      <c r="J46" s="604"/>
      <c r="K46" s="605"/>
      <c r="L46" s="605"/>
      <c r="M46" s="605"/>
      <c r="N46" s="605"/>
      <c r="O46" s="605"/>
      <c r="P46" s="497"/>
      <c r="Q46" s="507" t="e">
        <f>Q45/4</f>
        <v>#DIV/0!</v>
      </c>
      <c r="R46" s="603"/>
      <c r="S46" s="174" t="e">
        <f>S45/4</f>
        <v>#DIV/0!</v>
      </c>
      <c r="T46" s="194" t="e">
        <f>SUM(D46:S46)</f>
        <v>#DIV/0!</v>
      </c>
      <c r="U46" s="172"/>
    </row>
    <row r="47" spans="1:21" ht="30" customHeight="1">
      <c r="A47" s="172"/>
      <c r="B47" s="184" t="s">
        <v>357</v>
      </c>
      <c r="C47" s="222"/>
      <c r="D47" s="590" t="e">
        <f>D46/5</f>
        <v>#DIV/0!</v>
      </c>
      <c r="E47" s="591"/>
      <c r="F47" s="592"/>
      <c r="G47" s="593"/>
      <c r="H47" s="191"/>
      <c r="I47" s="590" t="e">
        <f>I46/5</f>
        <v>#DIV/0!</v>
      </c>
      <c r="J47" s="591"/>
      <c r="K47" s="592"/>
      <c r="L47" s="592"/>
      <c r="M47" s="592"/>
      <c r="N47" s="592"/>
      <c r="O47" s="592"/>
      <c r="P47" s="593"/>
      <c r="Q47" s="590" t="e">
        <f>Q46/5</f>
        <v>#DIV/0!</v>
      </c>
      <c r="R47" s="593"/>
      <c r="S47" s="176" t="e">
        <f>S46/5</f>
        <v>#DIV/0!</v>
      </c>
      <c r="T47" s="188" t="e">
        <f>SUM(D47:S47)</f>
        <v>#DIV/0!</v>
      </c>
      <c r="U47" s="172"/>
    </row>
    <row r="48" spans="1:48" s="352" customFormat="1" ht="15" customHeight="1" thickBot="1">
      <c r="A48" s="172"/>
      <c r="B48" s="163"/>
      <c r="C48" s="152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</row>
    <row r="49" spans="1:21" ht="30" customHeight="1">
      <c r="A49" s="172"/>
      <c r="B49" s="570" t="s">
        <v>495</v>
      </c>
      <c r="C49" s="571"/>
      <c r="D49" s="571"/>
      <c r="E49" s="571"/>
      <c r="F49" s="571"/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1"/>
      <c r="S49" s="571"/>
      <c r="T49" s="572"/>
      <c r="U49" s="172"/>
    </row>
    <row r="50" spans="1:21" ht="15" customHeight="1" thickBot="1">
      <c r="A50" s="172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172"/>
    </row>
    <row r="51" spans="1:21" ht="25.5" customHeight="1">
      <c r="A51" s="172"/>
      <c r="B51" s="567" t="s">
        <v>496</v>
      </c>
      <c r="C51" s="577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9"/>
      <c r="U51" s="172"/>
    </row>
    <row r="52" spans="1:21" ht="30" customHeight="1">
      <c r="A52" s="172"/>
      <c r="B52" s="608" t="s">
        <v>352</v>
      </c>
      <c r="C52" s="587"/>
      <c r="D52" s="588"/>
      <c r="E52" s="201"/>
      <c r="F52" s="588" t="s">
        <v>498</v>
      </c>
      <c r="G52" s="588"/>
      <c r="H52" s="588"/>
      <c r="I52" s="588"/>
      <c r="J52" s="201"/>
      <c r="K52" s="588" t="s">
        <v>499</v>
      </c>
      <c r="L52" s="588"/>
      <c r="M52" s="588"/>
      <c r="N52" s="588"/>
      <c r="O52" s="588"/>
      <c r="P52" s="588"/>
      <c r="Q52" s="588" t="s">
        <v>500</v>
      </c>
      <c r="R52" s="588"/>
      <c r="S52" s="588"/>
      <c r="T52" s="632"/>
      <c r="U52" s="172"/>
    </row>
    <row r="53" spans="1:21" ht="38.25" customHeight="1">
      <c r="A53" s="172"/>
      <c r="B53" s="609"/>
      <c r="C53" s="589"/>
      <c r="D53" s="467"/>
      <c r="E53" s="186"/>
      <c r="F53" s="467" t="s">
        <v>443</v>
      </c>
      <c r="G53" s="467"/>
      <c r="H53" s="186"/>
      <c r="I53" s="186" t="s">
        <v>387</v>
      </c>
      <c r="J53" s="186"/>
      <c r="K53" s="467" t="s">
        <v>443</v>
      </c>
      <c r="L53" s="467"/>
      <c r="M53" s="467"/>
      <c r="N53" s="467"/>
      <c r="O53" s="467"/>
      <c r="P53" s="186" t="s">
        <v>387</v>
      </c>
      <c r="Q53" s="467" t="s">
        <v>443</v>
      </c>
      <c r="R53" s="467"/>
      <c r="S53" s="467"/>
      <c r="T53" s="187" t="s">
        <v>387</v>
      </c>
      <c r="U53" s="172"/>
    </row>
    <row r="54" spans="1:21" ht="15" customHeight="1">
      <c r="A54" s="172"/>
      <c r="B54" s="594"/>
      <c r="C54" s="594"/>
      <c r="D54" s="594"/>
      <c r="E54" s="150"/>
      <c r="F54" s="594"/>
      <c r="G54" s="594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72"/>
    </row>
    <row r="55" spans="1:21" ht="30" customHeight="1">
      <c r="A55" s="172"/>
      <c r="B55" s="606" t="s">
        <v>206</v>
      </c>
      <c r="C55" s="606"/>
      <c r="D55" s="607"/>
      <c r="E55" s="202"/>
      <c r="F55" s="492" t="e">
        <f>P7</f>
        <v>#DIV/0!</v>
      </c>
      <c r="G55" s="492"/>
      <c r="H55" s="154"/>
      <c r="I55" s="154">
        <f>I7*K7</f>
        <v>0</v>
      </c>
      <c r="J55" s="154"/>
      <c r="K55" s="498" t="e">
        <f>D47</f>
        <v>#DIV/0!</v>
      </c>
      <c r="L55" s="498"/>
      <c r="M55" s="498"/>
      <c r="N55" s="498"/>
      <c r="O55" s="498"/>
      <c r="P55" s="173" t="e">
        <f>K55/G7</f>
        <v>#DIV/0!</v>
      </c>
      <c r="Q55" s="498" t="e">
        <f>F55-K55</f>
        <v>#DIV/0!</v>
      </c>
      <c r="R55" s="492"/>
      <c r="S55" s="492"/>
      <c r="T55" s="207" t="e">
        <f>Q55/G7</f>
        <v>#DIV/0!</v>
      </c>
      <c r="U55" s="172"/>
    </row>
    <row r="56" spans="1:21" ht="30" customHeight="1">
      <c r="A56" s="172"/>
      <c r="B56" s="587" t="s">
        <v>188</v>
      </c>
      <c r="C56" s="587"/>
      <c r="D56" s="588"/>
      <c r="E56" s="201"/>
      <c r="F56" s="505" t="e">
        <f>P8</f>
        <v>#DIV/0!</v>
      </c>
      <c r="G56" s="505"/>
      <c r="H56" s="156"/>
      <c r="I56" s="156">
        <f>I8*K8</f>
        <v>0</v>
      </c>
      <c r="J56" s="156"/>
      <c r="K56" s="506" t="e">
        <f>I47</f>
        <v>#DIV/0!</v>
      </c>
      <c r="L56" s="506"/>
      <c r="M56" s="506"/>
      <c r="N56" s="506"/>
      <c r="O56" s="506"/>
      <c r="P56" s="174" t="e">
        <f>K56/G8</f>
        <v>#DIV/0!</v>
      </c>
      <c r="Q56" s="506" t="e">
        <f>F56-K56</f>
        <v>#DIV/0!</v>
      </c>
      <c r="R56" s="505"/>
      <c r="S56" s="505"/>
      <c r="T56" s="175" t="e">
        <f>Q56/G8</f>
        <v>#DIV/0!</v>
      </c>
      <c r="U56" s="172"/>
    </row>
    <row r="57" spans="1:21" ht="30" customHeight="1">
      <c r="A57" s="172"/>
      <c r="B57" s="587" t="s">
        <v>390</v>
      </c>
      <c r="C57" s="587"/>
      <c r="D57" s="588"/>
      <c r="E57" s="201"/>
      <c r="F57" s="505" t="e">
        <f>P9</f>
        <v>#DIV/0!</v>
      </c>
      <c r="G57" s="505"/>
      <c r="H57" s="156"/>
      <c r="I57" s="156">
        <f>I9*K9</f>
        <v>0</v>
      </c>
      <c r="J57" s="156"/>
      <c r="K57" s="506" t="e">
        <f>Q47</f>
        <v>#DIV/0!</v>
      </c>
      <c r="L57" s="506"/>
      <c r="M57" s="506"/>
      <c r="N57" s="505"/>
      <c r="O57" s="505"/>
      <c r="P57" s="174" t="e">
        <f>K57/G9</f>
        <v>#DIV/0!</v>
      </c>
      <c r="Q57" s="506" t="e">
        <f>F57-K57</f>
        <v>#DIV/0!</v>
      </c>
      <c r="R57" s="505"/>
      <c r="S57" s="505"/>
      <c r="T57" s="175" t="e">
        <f>Q57/G9</f>
        <v>#DIV/0!</v>
      </c>
      <c r="U57" s="172"/>
    </row>
    <row r="58" spans="1:21" ht="30" customHeight="1">
      <c r="A58" s="172"/>
      <c r="B58" s="589" t="s">
        <v>186</v>
      </c>
      <c r="C58" s="589"/>
      <c r="D58" s="467"/>
      <c r="E58" s="186"/>
      <c r="F58" s="491" t="e">
        <f>P10</f>
        <v>#DIV/0!</v>
      </c>
      <c r="G58" s="491"/>
      <c r="H58" s="151"/>
      <c r="I58" s="151">
        <f>I10*K10</f>
        <v>0</v>
      </c>
      <c r="J58" s="151"/>
      <c r="K58" s="659" t="e">
        <f>S47</f>
        <v>#DIV/0!</v>
      </c>
      <c r="L58" s="659"/>
      <c r="M58" s="659"/>
      <c r="N58" s="491"/>
      <c r="O58" s="491"/>
      <c r="P58" s="176" t="e">
        <f>K58/G10</f>
        <v>#DIV/0!</v>
      </c>
      <c r="Q58" s="659" t="e">
        <f>F58-K58</f>
        <v>#DIV/0!</v>
      </c>
      <c r="R58" s="491"/>
      <c r="S58" s="491"/>
      <c r="T58" s="188" t="e">
        <f>Q58/G10</f>
        <v>#DIV/0!</v>
      </c>
      <c r="U58" s="172"/>
    </row>
    <row r="59" spans="1:21" ht="15" customHeight="1" thickBot="1">
      <c r="A59" s="172"/>
      <c r="B59" s="664"/>
      <c r="C59" s="664"/>
      <c r="D59" s="664"/>
      <c r="E59" s="664"/>
      <c r="F59" s="664"/>
      <c r="G59" s="664"/>
      <c r="H59" s="664"/>
      <c r="I59" s="664"/>
      <c r="J59" s="664"/>
      <c r="K59" s="664"/>
      <c r="L59" s="664"/>
      <c r="M59" s="664"/>
      <c r="N59" s="664"/>
      <c r="O59" s="664"/>
      <c r="P59" s="664"/>
      <c r="Q59" s="664"/>
      <c r="R59" s="664"/>
      <c r="S59" s="664"/>
      <c r="T59" s="664"/>
      <c r="U59" s="172"/>
    </row>
    <row r="60" spans="1:21" ht="30" customHeight="1">
      <c r="A60" s="172"/>
      <c r="B60" s="567" t="s">
        <v>497</v>
      </c>
      <c r="C60" s="577"/>
      <c r="D60" s="568"/>
      <c r="E60" s="568"/>
      <c r="F60" s="568"/>
      <c r="G60" s="568"/>
      <c r="H60" s="568"/>
      <c r="I60" s="568"/>
      <c r="J60" s="568"/>
      <c r="K60" s="568"/>
      <c r="L60" s="568"/>
      <c r="M60" s="568"/>
      <c r="N60" s="568"/>
      <c r="O60" s="568"/>
      <c r="P60" s="568"/>
      <c r="Q60" s="568"/>
      <c r="R60" s="568"/>
      <c r="S60" s="568"/>
      <c r="T60" s="569"/>
      <c r="U60" s="172"/>
    </row>
    <row r="61" spans="1:21" ht="41.25" customHeight="1">
      <c r="A61" s="172"/>
      <c r="B61" s="608" t="s">
        <v>352</v>
      </c>
      <c r="C61" s="587"/>
      <c r="D61" s="588"/>
      <c r="E61" s="201"/>
      <c r="F61" s="588" t="s">
        <v>487</v>
      </c>
      <c r="G61" s="657" t="s">
        <v>388</v>
      </c>
      <c r="H61" s="657"/>
      <c r="I61" s="657"/>
      <c r="J61" s="657"/>
      <c r="K61" s="657"/>
      <c r="L61" s="657"/>
      <c r="M61" s="205"/>
      <c r="N61" s="657" t="s">
        <v>389</v>
      </c>
      <c r="O61" s="657"/>
      <c r="P61" s="657"/>
      <c r="Q61" s="657" t="s">
        <v>494</v>
      </c>
      <c r="R61" s="657"/>
      <c r="S61" s="657" t="s">
        <v>489</v>
      </c>
      <c r="T61" s="658"/>
      <c r="U61" s="172"/>
    </row>
    <row r="62" spans="1:21" ht="33" customHeight="1">
      <c r="A62" s="172"/>
      <c r="B62" s="609"/>
      <c r="C62" s="589"/>
      <c r="D62" s="467"/>
      <c r="E62" s="186"/>
      <c r="F62" s="467"/>
      <c r="G62" s="467" t="s">
        <v>387</v>
      </c>
      <c r="H62" s="467"/>
      <c r="I62" s="467"/>
      <c r="J62" s="186"/>
      <c r="K62" s="467" t="s">
        <v>505</v>
      </c>
      <c r="L62" s="467"/>
      <c r="M62" s="186"/>
      <c r="N62" s="467" t="s">
        <v>387</v>
      </c>
      <c r="O62" s="467"/>
      <c r="P62" s="186" t="s">
        <v>505</v>
      </c>
      <c r="Q62" s="186" t="s">
        <v>387</v>
      </c>
      <c r="R62" s="186" t="s">
        <v>505</v>
      </c>
      <c r="S62" s="186" t="s">
        <v>387</v>
      </c>
      <c r="T62" s="187" t="s">
        <v>505</v>
      </c>
      <c r="U62" s="172"/>
    </row>
    <row r="63" spans="1:21" ht="15" customHeight="1" thickBot="1">
      <c r="A63" s="172"/>
      <c r="B63" s="231"/>
      <c r="C63" s="150"/>
      <c r="D63" s="231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72"/>
    </row>
    <row r="64" spans="1:21" ht="30" customHeight="1">
      <c r="A64" s="172"/>
      <c r="B64" s="606" t="s">
        <v>206</v>
      </c>
      <c r="C64" s="587"/>
      <c r="D64" s="607"/>
      <c r="E64" s="202"/>
      <c r="F64" s="154">
        <f>I7*K7*5</f>
        <v>0</v>
      </c>
      <c r="G64" s="661" t="e">
        <f>D46/G7</f>
        <v>#DIV/0!</v>
      </c>
      <c r="H64" s="661"/>
      <c r="I64" s="661"/>
      <c r="J64" s="211"/>
      <c r="K64" s="498" t="e">
        <f>G64*100/F64</f>
        <v>#DIV/0!</v>
      </c>
      <c r="L64" s="498"/>
      <c r="M64" s="173"/>
      <c r="N64" s="661" t="e">
        <f>F64-G64-Q64-S64</f>
        <v>#DIV/0!</v>
      </c>
      <c r="O64" s="661"/>
      <c r="P64" s="212" t="e">
        <f>N64*100/F64</f>
        <v>#DIV/0!</v>
      </c>
      <c r="Q64" s="32"/>
      <c r="R64" s="196" t="e">
        <f>Q64*100/F64</f>
        <v>#DIV/0!</v>
      </c>
      <c r="S64" s="32"/>
      <c r="T64" s="193" t="e">
        <f>S64*100/F64</f>
        <v>#DIV/0!</v>
      </c>
      <c r="U64" s="172"/>
    </row>
    <row r="65" spans="1:21" ht="30" customHeight="1">
      <c r="A65" s="172"/>
      <c r="B65" s="587" t="s">
        <v>188</v>
      </c>
      <c r="C65" s="587"/>
      <c r="D65" s="588"/>
      <c r="E65" s="201"/>
      <c r="F65" s="156">
        <f>I8*K8*5</f>
        <v>0</v>
      </c>
      <c r="G65" s="662" t="e">
        <f>I46/G8</f>
        <v>#DIV/0!</v>
      </c>
      <c r="H65" s="662"/>
      <c r="I65" s="662"/>
      <c r="J65" s="213"/>
      <c r="K65" s="506" t="e">
        <f>G65*100/F65</f>
        <v>#DIV/0!</v>
      </c>
      <c r="L65" s="506"/>
      <c r="M65" s="174"/>
      <c r="N65" s="662" t="e">
        <f>F65-G65-Q65-S65</f>
        <v>#DIV/0!</v>
      </c>
      <c r="O65" s="662"/>
      <c r="P65" s="214" t="e">
        <f>N65*100/F65</f>
        <v>#DIV/0!</v>
      </c>
      <c r="Q65" s="35"/>
      <c r="R65" s="189" t="e">
        <f>Q65*100/F65</f>
        <v>#DIV/0!</v>
      </c>
      <c r="S65" s="35"/>
      <c r="T65" s="194" t="e">
        <f>S65*100/F65</f>
        <v>#DIV/0!</v>
      </c>
      <c r="U65" s="172"/>
    </row>
    <row r="66" spans="1:21" ht="30" customHeight="1">
      <c r="A66" s="172"/>
      <c r="B66" s="587" t="s">
        <v>390</v>
      </c>
      <c r="C66" s="587"/>
      <c r="D66" s="588"/>
      <c r="E66" s="201"/>
      <c r="F66" s="156">
        <f>I9*K9*5</f>
        <v>0</v>
      </c>
      <c r="G66" s="662" t="e">
        <f>Q46/G9</f>
        <v>#DIV/0!</v>
      </c>
      <c r="H66" s="662"/>
      <c r="I66" s="662"/>
      <c r="J66" s="213"/>
      <c r="K66" s="506" t="e">
        <f>G66*100/F66</f>
        <v>#DIV/0!</v>
      </c>
      <c r="L66" s="506"/>
      <c r="M66" s="174"/>
      <c r="N66" s="662" t="e">
        <f>F66-G66-Q66-S66</f>
        <v>#DIV/0!</v>
      </c>
      <c r="O66" s="662"/>
      <c r="P66" s="214" t="e">
        <f>N66*100/F66</f>
        <v>#DIV/0!</v>
      </c>
      <c r="Q66" s="35"/>
      <c r="R66" s="189" t="e">
        <f>Q66*100/F66</f>
        <v>#DIV/0!</v>
      </c>
      <c r="S66" s="35"/>
      <c r="T66" s="194" t="e">
        <f>S66*100/F66</f>
        <v>#DIV/0!</v>
      </c>
      <c r="U66" s="172"/>
    </row>
    <row r="67" spans="1:21" ht="30" customHeight="1">
      <c r="A67" s="172"/>
      <c r="B67" s="589" t="s">
        <v>186</v>
      </c>
      <c r="C67" s="589"/>
      <c r="D67" s="467"/>
      <c r="E67" s="186"/>
      <c r="F67" s="151">
        <f>I10*K10*5</f>
        <v>0</v>
      </c>
      <c r="G67" s="660" t="e">
        <f>S46/G10</f>
        <v>#DIV/0!</v>
      </c>
      <c r="H67" s="660"/>
      <c r="I67" s="660"/>
      <c r="J67" s="206"/>
      <c r="K67" s="659" t="e">
        <f>G67*100/F67</f>
        <v>#DIV/0!</v>
      </c>
      <c r="L67" s="659"/>
      <c r="M67" s="176"/>
      <c r="N67" s="660" t="e">
        <f>F67-G67-Q67-S67</f>
        <v>#DIV/0!</v>
      </c>
      <c r="O67" s="660"/>
      <c r="P67" s="190" t="e">
        <f>N67*100/F67</f>
        <v>#DIV/0!</v>
      </c>
      <c r="Q67" s="33"/>
      <c r="R67" s="191" t="e">
        <f>Q67*100/F67</f>
        <v>#DIV/0!</v>
      </c>
      <c r="S67" s="33"/>
      <c r="T67" s="195" t="e">
        <f>S67*100/F67</f>
        <v>#DIV/0!</v>
      </c>
      <c r="U67" s="172"/>
    </row>
    <row r="68" spans="1:21" ht="14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</row>
    <row r="69" spans="1:21" ht="14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</row>
    <row r="70" spans="1:21" ht="14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</row>
    <row r="71" spans="1:21" ht="14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</row>
    <row r="72" spans="1:21" ht="14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</row>
    <row r="73" spans="1:21" ht="14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</row>
    <row r="74" spans="1:21" ht="14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</row>
    <row r="75" spans="1:21" ht="14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</row>
    <row r="76" spans="1:21" ht="14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</row>
    <row r="77" spans="1:21" ht="14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</row>
    <row r="78" spans="1:21" ht="14.2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</row>
    <row r="79" spans="1:21" ht="14.2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</row>
    <row r="80" spans="1:21" ht="14.2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4.2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4.2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4.2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4.2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4.2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4.2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4.2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4.2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4.2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4.2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4.2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4.2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4.2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4.2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4.2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4.2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="172" customFormat="1" ht="14.25"/>
    <row r="98" s="172" customFormat="1" ht="14.25"/>
    <row r="99" s="172" customFormat="1" ht="14.25"/>
    <row r="100" s="172" customFormat="1" ht="14.25"/>
    <row r="101" s="172" customFormat="1" ht="14.25"/>
    <row r="102" s="172" customFormat="1" ht="14.25"/>
    <row r="103" s="172" customFormat="1" ht="14.25"/>
    <row r="104" s="172" customFormat="1" ht="14.25"/>
    <row r="105" s="172" customFormat="1" ht="14.25"/>
    <row r="106" s="172" customFormat="1" ht="14.25"/>
    <row r="107" s="172" customFormat="1" ht="14.25"/>
    <row r="108" s="172" customFormat="1" ht="14.25"/>
    <row r="109" s="172" customFormat="1" ht="14.25"/>
    <row r="110" s="172" customFormat="1" ht="14.25"/>
    <row r="111" s="172" customFormat="1" ht="14.25"/>
    <row r="112" s="172" customFormat="1" ht="14.25"/>
    <row r="113" s="172" customFormat="1" ht="14.25"/>
    <row r="114" s="172" customFormat="1" ht="14.25"/>
    <row r="115" s="172" customFormat="1" ht="14.25"/>
    <row r="116" s="172" customFormat="1" ht="14.25"/>
    <row r="117" s="172" customFormat="1" ht="14.25"/>
    <row r="118" s="172" customFormat="1" ht="14.25"/>
    <row r="119" s="172" customFormat="1" ht="14.25"/>
    <row r="120" s="172" customFormat="1" ht="14.25"/>
    <row r="121" s="172" customFormat="1" ht="14.25"/>
    <row r="122" s="172" customFormat="1" ht="14.25"/>
    <row r="123" s="172" customFormat="1" ht="14.25"/>
    <row r="124" s="172" customFormat="1" ht="14.25"/>
    <row r="125" s="172" customFormat="1" ht="14.25"/>
    <row r="126" s="172" customFormat="1" ht="14.25"/>
    <row r="127" s="172" customFormat="1" ht="14.25"/>
    <row r="128" s="172" customFormat="1" ht="14.25"/>
    <row r="129" s="172" customFormat="1" ht="14.25"/>
    <row r="130" s="172" customFormat="1" ht="14.25"/>
    <row r="131" s="172" customFormat="1" ht="14.25"/>
    <row r="132" s="172" customFormat="1" ht="14.25"/>
    <row r="133" s="172" customFormat="1" ht="14.25"/>
    <row r="134" s="172" customFormat="1" ht="14.25"/>
    <row r="135" s="172" customFormat="1" ht="14.25"/>
    <row r="136" s="172" customFormat="1" ht="14.25"/>
    <row r="137" s="172" customFormat="1" ht="14.25"/>
    <row r="138" s="172" customFormat="1" ht="14.25"/>
    <row r="139" s="172" customFormat="1" ht="14.25"/>
    <row r="140" s="172" customFormat="1" ht="14.25"/>
    <row r="141" s="172" customFormat="1" ht="14.25"/>
    <row r="142" s="172" customFormat="1" ht="14.25"/>
    <row r="143" s="172" customFormat="1" ht="14.25"/>
    <row r="144" s="172" customFormat="1" ht="14.25"/>
    <row r="145" s="172" customFormat="1" ht="14.25"/>
    <row r="146" s="172" customFormat="1" ht="14.25"/>
    <row r="147" s="172" customFormat="1" ht="14.25"/>
    <row r="148" s="172" customFormat="1" ht="14.25"/>
    <row r="149" s="172" customFormat="1" ht="14.25"/>
    <row r="150" s="172" customFormat="1" ht="14.25"/>
    <row r="151" s="172" customFormat="1" ht="14.25"/>
    <row r="152" s="172" customFormat="1" ht="14.25"/>
    <row r="153" s="172" customFormat="1" ht="14.25"/>
    <row r="154" s="172" customFormat="1" ht="14.25"/>
    <row r="155" s="172" customFormat="1" ht="14.25"/>
    <row r="156" s="172" customFormat="1" ht="14.25"/>
    <row r="157" s="172" customFormat="1" ht="14.25"/>
    <row r="158" s="172" customFormat="1" ht="14.25"/>
    <row r="159" s="172" customFormat="1" ht="14.25"/>
    <row r="160" s="172" customFormat="1" ht="14.25"/>
    <row r="161" s="172" customFormat="1" ht="14.25"/>
    <row r="162" s="172" customFormat="1" ht="14.25"/>
    <row r="163" s="172" customFormat="1" ht="14.25"/>
    <row r="164" s="172" customFormat="1" ht="14.25"/>
    <row r="165" s="172" customFormat="1" ht="14.25"/>
    <row r="166" s="172" customFormat="1" ht="14.25"/>
    <row r="167" s="172" customFormat="1" ht="14.25"/>
    <row r="168" s="172" customFormat="1" ht="14.25"/>
    <row r="169" s="172" customFormat="1" ht="14.25"/>
    <row r="170" s="172" customFormat="1" ht="14.25"/>
    <row r="171" s="172" customFormat="1" ht="14.25"/>
    <row r="172" s="172" customFormat="1" ht="14.25"/>
    <row r="173" s="172" customFormat="1" ht="14.25"/>
    <row r="174" s="172" customFormat="1" ht="14.25"/>
    <row r="175" s="172" customFormat="1" ht="14.25"/>
    <row r="176" s="172" customFormat="1" ht="14.25"/>
    <row r="177" s="172" customFormat="1" ht="14.25"/>
    <row r="178" s="172" customFormat="1" ht="14.25"/>
    <row r="179" s="172" customFormat="1" ht="14.25"/>
    <row r="180" s="172" customFormat="1" ht="14.25"/>
    <row r="181" s="172" customFormat="1" ht="14.25"/>
    <row r="182" s="172" customFormat="1" ht="14.25"/>
    <row r="183" s="172" customFormat="1" ht="14.25"/>
    <row r="184" s="172" customFormat="1" ht="14.25"/>
    <row r="185" s="172" customFormat="1" ht="14.25"/>
    <row r="186" s="172" customFormat="1" ht="14.25"/>
    <row r="187" s="172" customFormat="1" ht="14.25"/>
    <row r="188" s="172" customFormat="1" ht="14.25"/>
    <row r="189" s="172" customFormat="1" ht="14.25"/>
    <row r="190" s="172" customFormat="1" ht="14.25"/>
    <row r="191" s="172" customFormat="1" ht="14.25"/>
    <row r="192" s="172" customFormat="1" ht="14.25"/>
    <row r="193" s="172" customFormat="1" ht="14.25"/>
    <row r="194" s="172" customFormat="1" ht="14.25"/>
    <row r="195" s="172" customFormat="1" ht="14.25"/>
    <row r="196" s="172" customFormat="1" ht="14.25"/>
    <row r="197" s="172" customFormat="1" ht="14.25"/>
    <row r="198" s="172" customFormat="1" ht="14.25"/>
    <row r="199" s="172" customFormat="1" ht="14.25"/>
    <row r="200" s="172" customFormat="1" ht="14.25"/>
    <row r="201" s="172" customFormat="1" ht="14.25"/>
    <row r="202" s="172" customFormat="1" ht="14.25"/>
    <row r="203" s="172" customFormat="1" ht="14.25"/>
  </sheetData>
  <sheetProtection sheet="1" objects="1" scenarios="1"/>
  <mergeCells count="133">
    <mergeCell ref="K66:L66"/>
    <mergeCell ref="K67:L67"/>
    <mergeCell ref="B59:T59"/>
    <mergeCell ref="G61:L61"/>
    <mergeCell ref="N62:O62"/>
    <mergeCell ref="N64:O64"/>
    <mergeCell ref="Q61:R61"/>
    <mergeCell ref="F61:F62"/>
    <mergeCell ref="N65:O65"/>
    <mergeCell ref="N66:O66"/>
    <mergeCell ref="K39:L39"/>
    <mergeCell ref="K40:L40"/>
    <mergeCell ref="K41:L41"/>
    <mergeCell ref="K35:L35"/>
    <mergeCell ref="K36:L36"/>
    <mergeCell ref="K37:L37"/>
    <mergeCell ref="K38:L38"/>
    <mergeCell ref="K31:L31"/>
    <mergeCell ref="K32:L32"/>
    <mergeCell ref="K33:L33"/>
    <mergeCell ref="K34:L34"/>
    <mergeCell ref="K26:L26"/>
    <mergeCell ref="K28:L28"/>
    <mergeCell ref="K29:L29"/>
    <mergeCell ref="K30:L30"/>
    <mergeCell ref="B66:D66"/>
    <mergeCell ref="B67:D67"/>
    <mergeCell ref="G65:I65"/>
    <mergeCell ref="G66:I66"/>
    <mergeCell ref="G67:I67"/>
    <mergeCell ref="N67:O67"/>
    <mergeCell ref="B65:D65"/>
    <mergeCell ref="K65:L65"/>
    <mergeCell ref="G62:I62"/>
    <mergeCell ref="G64:I64"/>
    <mergeCell ref="B61:D62"/>
    <mergeCell ref="B64:D64"/>
    <mergeCell ref="K62:L62"/>
    <mergeCell ref="K64:L64"/>
    <mergeCell ref="N61:P61"/>
    <mergeCell ref="S61:T61"/>
    <mergeCell ref="K58:O58"/>
    <mergeCell ref="Q53:S53"/>
    <mergeCell ref="Q55:S55"/>
    <mergeCell ref="Q56:S56"/>
    <mergeCell ref="Q57:S57"/>
    <mergeCell ref="Q58:S58"/>
    <mergeCell ref="B60:T60"/>
    <mergeCell ref="K56:O56"/>
    <mergeCell ref="K57:O57"/>
    <mergeCell ref="S5:T5"/>
    <mergeCell ref="Q46:R46"/>
    <mergeCell ref="I43:P43"/>
    <mergeCell ref="I44:P44"/>
    <mergeCell ref="I45:P45"/>
    <mergeCell ref="I46:P46"/>
    <mergeCell ref="Q45:R45"/>
    <mergeCell ref="S19:T19"/>
    <mergeCell ref="S20:T20"/>
    <mergeCell ref="Q43:R43"/>
    <mergeCell ref="N5:O5"/>
    <mergeCell ref="N7:O7"/>
    <mergeCell ref="N8:O8"/>
    <mergeCell ref="Q44:R44"/>
    <mergeCell ref="Q16:Q17"/>
    <mergeCell ref="R16:R17"/>
    <mergeCell ref="N18:P18"/>
    <mergeCell ref="N21:P21"/>
    <mergeCell ref="N19:P19"/>
    <mergeCell ref="N20:P20"/>
    <mergeCell ref="S7:T7"/>
    <mergeCell ref="S8:T8"/>
    <mergeCell ref="S9:T9"/>
    <mergeCell ref="K52:P52"/>
    <mergeCell ref="Q52:T52"/>
    <mergeCell ref="I16:K16"/>
    <mergeCell ref="I17:K17"/>
    <mergeCell ref="I18:K18"/>
    <mergeCell ref="I21:K21"/>
    <mergeCell ref="S18:T18"/>
    <mergeCell ref="S21:T21"/>
    <mergeCell ref="S16:T17"/>
    <mergeCell ref="N16:P17"/>
    <mergeCell ref="B14:D14"/>
    <mergeCell ref="B16:D16"/>
    <mergeCell ref="G14:K14"/>
    <mergeCell ref="B19:D19"/>
    <mergeCell ref="I19:K19"/>
    <mergeCell ref="B20:D20"/>
    <mergeCell ref="I20:K20"/>
    <mergeCell ref="N10:O10"/>
    <mergeCell ref="N14:P14"/>
    <mergeCell ref="B10:D10"/>
    <mergeCell ref="B12:T12"/>
    <mergeCell ref="R14:T14"/>
    <mergeCell ref="S10:T10"/>
    <mergeCell ref="D45:G45"/>
    <mergeCell ref="D46:G46"/>
    <mergeCell ref="D25:T25"/>
    <mergeCell ref="B55:D55"/>
    <mergeCell ref="B52:D53"/>
    <mergeCell ref="B51:T51"/>
    <mergeCell ref="I47:P47"/>
    <mergeCell ref="Q47:R47"/>
    <mergeCell ref="F53:G53"/>
    <mergeCell ref="F55:G55"/>
    <mergeCell ref="D44:G44"/>
    <mergeCell ref="B17:D17"/>
    <mergeCell ref="B18:D18"/>
    <mergeCell ref="D43:G43"/>
    <mergeCell ref="D47:G47"/>
    <mergeCell ref="F52:I52"/>
    <mergeCell ref="K53:O53"/>
    <mergeCell ref="K55:O55"/>
    <mergeCell ref="B49:T49"/>
    <mergeCell ref="B54:D54"/>
    <mergeCell ref="F54:G54"/>
    <mergeCell ref="F58:G58"/>
    <mergeCell ref="B57:D57"/>
    <mergeCell ref="B58:D58"/>
    <mergeCell ref="F56:G56"/>
    <mergeCell ref="F57:G57"/>
    <mergeCell ref="B56:D56"/>
    <mergeCell ref="B2:T2"/>
    <mergeCell ref="N4:T4"/>
    <mergeCell ref="B23:T23"/>
    <mergeCell ref="B5:D5"/>
    <mergeCell ref="B7:D7"/>
    <mergeCell ref="B4:K4"/>
    <mergeCell ref="B21:D21"/>
    <mergeCell ref="B8:D8"/>
    <mergeCell ref="B9:D9"/>
    <mergeCell ref="N9:O9"/>
  </mergeCells>
  <printOptions horizontalCentered="1"/>
  <pageMargins left="0.2" right="0.26" top="0.46" bottom="0.57" header="0.5118110236220472" footer="0.5118110236220472"/>
  <pageSetup horizontalDpi="300" verticalDpi="300" orientation="landscape" paperSize="9" scale="70" r:id="rId2"/>
  <rowBreaks count="2" manualBreakCount="2">
    <brk id="22" max="255" man="1"/>
    <brk id="4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80"/>
  <sheetViews>
    <sheetView zoomScale="60" zoomScaleNormal="6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368" customWidth="1"/>
    <col min="2" max="2" width="55.140625" style="368" customWidth="1"/>
    <col min="3" max="3" width="6.8515625" style="368" customWidth="1"/>
    <col min="4" max="4" width="2.7109375" style="398" customWidth="1"/>
    <col min="5" max="5" width="7.00390625" style="368" customWidth="1"/>
    <col min="6" max="6" width="5.7109375" style="368" customWidth="1"/>
    <col min="7" max="7" width="15.7109375" style="368" customWidth="1"/>
    <col min="8" max="8" width="5.00390625" style="368" customWidth="1"/>
    <col min="9" max="9" width="15.140625" style="368" customWidth="1"/>
    <col min="10" max="10" width="2.7109375" style="398" customWidth="1"/>
    <col min="11" max="22" width="7.7109375" style="368" customWidth="1"/>
    <col min="23" max="23" width="2.7109375" style="398" customWidth="1"/>
    <col min="24" max="25" width="8.421875" style="368" customWidth="1"/>
    <col min="26" max="26" width="2.7109375" style="368" customWidth="1"/>
    <col min="27" max="27" width="16.00390625" style="368" customWidth="1"/>
    <col min="28" max="28" width="11.57421875" style="368" bestFit="1" customWidth="1"/>
    <col min="29" max="16384" width="9.140625" style="368" customWidth="1"/>
  </cols>
  <sheetData>
    <row r="1" spans="2:27" ht="15" customHeight="1" thickBot="1"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  <c r="AA1" s="742"/>
    </row>
    <row r="2" spans="2:28" ht="31.5" customHeight="1">
      <c r="B2" s="466" t="s">
        <v>6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8"/>
      <c r="AB2" s="369"/>
    </row>
    <row r="3" spans="2:27" ht="15" customHeight="1" thickBot="1">
      <c r="B3" s="370"/>
      <c r="C3" s="370"/>
      <c r="D3" s="371"/>
      <c r="E3" s="370"/>
      <c r="F3" s="370"/>
      <c r="G3" s="370"/>
      <c r="H3" s="370"/>
      <c r="I3" s="370"/>
      <c r="J3" s="371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1"/>
      <c r="X3" s="370"/>
      <c r="Y3" s="370"/>
      <c r="Z3" s="372"/>
      <c r="AA3" s="370"/>
    </row>
    <row r="4" spans="1:27" ht="20.25" customHeight="1">
      <c r="A4" s="373"/>
      <c r="B4" s="743" t="s">
        <v>7</v>
      </c>
      <c r="C4" s="744"/>
      <c r="D4" s="374"/>
      <c r="E4" s="749" t="s">
        <v>349</v>
      </c>
      <c r="F4" s="749"/>
      <c r="G4" s="749"/>
      <c r="H4" s="749"/>
      <c r="I4" s="749"/>
      <c r="J4" s="374"/>
      <c r="K4" s="750" t="s">
        <v>8</v>
      </c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375"/>
      <c r="AA4" s="751" t="s">
        <v>9</v>
      </c>
    </row>
    <row r="5" spans="1:27" s="383" customFormat="1" ht="37.5" customHeight="1">
      <c r="A5" s="376"/>
      <c r="B5" s="745"/>
      <c r="C5" s="746"/>
      <c r="D5" s="374"/>
      <c r="E5" s="753" t="s">
        <v>505</v>
      </c>
      <c r="F5" s="755" t="s">
        <v>10</v>
      </c>
      <c r="G5" s="753"/>
      <c r="H5" s="755" t="s">
        <v>11</v>
      </c>
      <c r="I5" s="757"/>
      <c r="J5" s="152"/>
      <c r="K5" s="378" t="s">
        <v>12</v>
      </c>
      <c r="L5" s="377" t="s">
        <v>13</v>
      </c>
      <c r="M5" s="379" t="s">
        <v>14</v>
      </c>
      <c r="N5" s="380" t="s">
        <v>15</v>
      </c>
      <c r="O5" s="377" t="s">
        <v>16</v>
      </c>
      <c r="P5" s="379" t="s">
        <v>17</v>
      </c>
      <c r="Q5" s="379" t="s">
        <v>18</v>
      </c>
      <c r="R5" s="381" t="s">
        <v>19</v>
      </c>
      <c r="S5" s="377" t="s">
        <v>20</v>
      </c>
      <c r="T5" s="380" t="s">
        <v>21</v>
      </c>
      <c r="U5" s="379" t="s">
        <v>22</v>
      </c>
      <c r="V5" s="382" t="s">
        <v>23</v>
      </c>
      <c r="W5" s="167"/>
      <c r="X5" s="759" t="s">
        <v>24</v>
      </c>
      <c r="Y5" s="760"/>
      <c r="Z5" s="368"/>
      <c r="AA5" s="752"/>
    </row>
    <row r="6" spans="1:27" s="383" customFormat="1" ht="24.75" customHeight="1">
      <c r="A6" s="376"/>
      <c r="B6" s="747"/>
      <c r="C6" s="748"/>
      <c r="D6" s="374"/>
      <c r="E6" s="754"/>
      <c r="F6" s="756"/>
      <c r="G6" s="754"/>
      <c r="H6" s="756"/>
      <c r="I6" s="758"/>
      <c r="J6" s="162"/>
      <c r="K6" s="384" t="s">
        <v>25</v>
      </c>
      <c r="L6" s="386" t="s">
        <v>25</v>
      </c>
      <c r="M6" s="384" t="s">
        <v>25</v>
      </c>
      <c r="N6" s="385" t="s">
        <v>25</v>
      </c>
      <c r="O6" s="377" t="s">
        <v>25</v>
      </c>
      <c r="P6" s="387" t="s">
        <v>25</v>
      </c>
      <c r="Q6" s="387" t="s">
        <v>25</v>
      </c>
      <c r="R6" s="387" t="s">
        <v>25</v>
      </c>
      <c r="S6" s="387" t="s">
        <v>25</v>
      </c>
      <c r="T6" s="385" t="s">
        <v>25</v>
      </c>
      <c r="U6" s="387" t="s">
        <v>25</v>
      </c>
      <c r="V6" s="388" t="s">
        <v>25</v>
      </c>
      <c r="W6" s="162"/>
      <c r="X6" s="389" t="s">
        <v>25</v>
      </c>
      <c r="Y6" s="388" t="s">
        <v>505</v>
      </c>
      <c r="Z6" s="368"/>
      <c r="AA6" s="390" t="s">
        <v>25</v>
      </c>
    </row>
    <row r="7" spans="2:27" s="383" customFormat="1" ht="15" customHeight="1" thickBot="1">
      <c r="B7" s="391"/>
      <c r="C7" s="391"/>
      <c r="D7" s="392"/>
      <c r="E7" s="391"/>
      <c r="F7" s="391"/>
      <c r="G7" s="391"/>
      <c r="H7" s="391"/>
      <c r="I7" s="391"/>
      <c r="J7" s="392"/>
      <c r="K7" s="393"/>
      <c r="L7" s="393"/>
      <c r="M7" s="393"/>
      <c r="N7" s="393"/>
      <c r="O7" s="411"/>
      <c r="P7" s="393"/>
      <c r="Q7" s="393"/>
      <c r="R7" s="393"/>
      <c r="S7" s="393"/>
      <c r="T7" s="393"/>
      <c r="U7" s="393"/>
      <c r="V7" s="393"/>
      <c r="W7" s="394"/>
      <c r="X7" s="393"/>
      <c r="Y7" s="393"/>
      <c r="Z7" s="368"/>
      <c r="AA7" s="393"/>
    </row>
    <row r="8" spans="2:28" s="383" customFormat="1" ht="24.75" customHeight="1">
      <c r="B8" s="717" t="s">
        <v>358</v>
      </c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9"/>
      <c r="AB8" s="395"/>
    </row>
    <row r="9" spans="2:27" s="383" customFormat="1" ht="15" customHeight="1" thickBot="1">
      <c r="B9" s="396"/>
      <c r="C9" s="396"/>
      <c r="D9" s="397"/>
      <c r="E9" s="396"/>
      <c r="F9" s="396"/>
      <c r="G9" s="396"/>
      <c r="H9" s="396"/>
      <c r="I9" s="396"/>
      <c r="J9" s="397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7"/>
      <c r="X9" s="396"/>
      <c r="Y9" s="396"/>
      <c r="Z9" s="396"/>
      <c r="AA9" s="396"/>
    </row>
    <row r="10" spans="1:27" ht="34.5" customHeight="1">
      <c r="A10" s="398"/>
      <c r="B10" s="708" t="s">
        <v>26</v>
      </c>
      <c r="C10" s="709"/>
      <c r="D10" s="161"/>
      <c r="E10" s="687">
        <f>CRIANÇA!F9</f>
        <v>0</v>
      </c>
      <c r="F10" s="727">
        <f>CRIANÇA!G9</f>
        <v>0</v>
      </c>
      <c r="G10" s="690" t="s">
        <v>350</v>
      </c>
      <c r="H10" s="728">
        <f>F10/12</f>
        <v>0</v>
      </c>
      <c r="I10" s="680" t="s">
        <v>350</v>
      </c>
      <c r="J10" s="161"/>
      <c r="K10" s="740"/>
      <c r="L10" s="730"/>
      <c r="M10" s="730"/>
      <c r="N10" s="730"/>
      <c r="O10" s="730"/>
      <c r="P10" s="730"/>
      <c r="Q10" s="730"/>
      <c r="R10" s="730"/>
      <c r="S10" s="730"/>
      <c r="T10" s="730"/>
      <c r="U10" s="730"/>
      <c r="V10" s="730"/>
      <c r="W10" s="165"/>
      <c r="X10" s="670">
        <f>K10+L10+M10+N10+O10+P10+Q10+R10+S10+T10+U10+V10</f>
        <v>0</v>
      </c>
      <c r="Y10" s="672" t="e">
        <f>X10/F10*100</f>
        <v>#DIV/0!</v>
      </c>
      <c r="Z10" s="185"/>
      <c r="AA10" s="713">
        <f>(H10-K10)+(H10-L10)+(H10-M10)+(H10-N10)+(H10-O10)+(H10-P10)+(H10-Q10)+(H10-R10)+(H10-S10)+(H10-T10)+(H10-U10)+(H10-V10)</f>
        <v>0</v>
      </c>
    </row>
    <row r="11" spans="1:27" ht="32.25" customHeight="1">
      <c r="A11" s="398"/>
      <c r="B11" s="699"/>
      <c r="C11" s="629"/>
      <c r="D11" s="161"/>
      <c r="E11" s="700"/>
      <c r="F11" s="739"/>
      <c r="G11" s="704"/>
      <c r="H11" s="729"/>
      <c r="I11" s="706"/>
      <c r="J11" s="161"/>
      <c r="K11" s="741"/>
      <c r="L11" s="738"/>
      <c r="M11" s="738"/>
      <c r="N11" s="738"/>
      <c r="O11" s="738"/>
      <c r="P11" s="738"/>
      <c r="Q11" s="738"/>
      <c r="R11" s="738"/>
      <c r="S11" s="738"/>
      <c r="T11" s="738"/>
      <c r="U11" s="738"/>
      <c r="V11" s="738"/>
      <c r="W11" s="165"/>
      <c r="X11" s="711"/>
      <c r="Y11" s="595"/>
      <c r="Z11" s="185"/>
      <c r="AA11" s="596"/>
    </row>
    <row r="12" spans="1:27" ht="34.5" customHeight="1">
      <c r="A12" s="398"/>
      <c r="B12" s="684" t="s">
        <v>27</v>
      </c>
      <c r="C12" s="631"/>
      <c r="D12" s="161"/>
      <c r="E12" s="687">
        <f>CRIANÇA!F11</f>
        <v>0</v>
      </c>
      <c r="F12" s="724">
        <f>CRIANÇA!I11+CRIANÇA!I12</f>
        <v>0</v>
      </c>
      <c r="G12" s="703" t="s">
        <v>28</v>
      </c>
      <c r="H12" s="678">
        <f>F12/12</f>
        <v>0</v>
      </c>
      <c r="I12" s="620" t="s">
        <v>28</v>
      </c>
      <c r="J12" s="161"/>
      <c r="K12" s="73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74"/>
      <c r="W12" s="165"/>
      <c r="X12" s="501">
        <f>K12+L12+M12+N12+O12+P12+Q12+R12+S12+T12+U12+V12</f>
        <v>0</v>
      </c>
      <c r="Y12" s="672" t="e">
        <f>X12/F12*100</f>
        <v>#DIV/0!</v>
      </c>
      <c r="Z12" s="185"/>
      <c r="AA12" s="713">
        <f>(H12-K12)+(H12-L12)+(H12-M12)+(H12-N12)+(H12-O12)+(H12-P12)+(H12-Q12)+(H12-R12)+(H12-S12)+(H12-T12)+(H12-U12)+(H12-V12)</f>
        <v>0</v>
      </c>
    </row>
    <row r="13" spans="1:27" ht="34.5" customHeight="1">
      <c r="A13" s="398"/>
      <c r="B13" s="685"/>
      <c r="C13" s="686"/>
      <c r="D13" s="161"/>
      <c r="E13" s="688"/>
      <c r="F13" s="725"/>
      <c r="G13" s="691"/>
      <c r="H13" s="679"/>
      <c r="I13" s="681"/>
      <c r="J13" s="161"/>
      <c r="K13" s="737"/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75"/>
      <c r="W13" s="165"/>
      <c r="X13" s="671"/>
      <c r="Y13" s="673"/>
      <c r="Z13" s="413"/>
      <c r="AA13" s="665"/>
    </row>
    <row r="14" spans="2:27" ht="15" customHeight="1" thickBot="1">
      <c r="B14" s="399"/>
      <c r="C14" s="400"/>
      <c r="D14" s="401"/>
      <c r="E14" s="406"/>
      <c r="F14" s="391"/>
      <c r="G14" s="400"/>
      <c r="H14" s="391"/>
      <c r="I14" s="400"/>
      <c r="J14" s="40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2"/>
      <c r="X14" s="391"/>
      <c r="Y14" s="402"/>
      <c r="Z14" s="402"/>
      <c r="AA14" s="402"/>
    </row>
    <row r="15" spans="2:27" s="383" customFormat="1" ht="24.75" customHeight="1">
      <c r="B15" s="717" t="s">
        <v>359</v>
      </c>
      <c r="C15" s="718"/>
      <c r="D15" s="718"/>
      <c r="E15" s="718"/>
      <c r="F15" s="718"/>
      <c r="G15" s="718"/>
      <c r="H15" s="718"/>
      <c r="I15" s="718"/>
      <c r="J15" s="718"/>
      <c r="K15" s="718"/>
      <c r="L15" s="718"/>
      <c r="M15" s="718"/>
      <c r="N15" s="718"/>
      <c r="O15" s="718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9"/>
    </row>
    <row r="16" spans="2:27" s="383" customFormat="1" ht="15" customHeight="1" thickBot="1">
      <c r="B16" s="403"/>
      <c r="C16" s="403"/>
      <c r="D16" s="404"/>
      <c r="E16" s="403"/>
      <c r="F16" s="403"/>
      <c r="G16" s="403"/>
      <c r="H16" s="403"/>
      <c r="I16" s="403"/>
      <c r="J16" s="404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4"/>
      <c r="X16" s="403"/>
      <c r="Y16" s="403"/>
      <c r="Z16" s="403"/>
      <c r="AA16" s="403"/>
    </row>
    <row r="17" spans="1:27" ht="42" customHeight="1">
      <c r="A17" s="398"/>
      <c r="B17" s="708" t="s">
        <v>29</v>
      </c>
      <c r="C17" s="709"/>
      <c r="D17" s="161"/>
      <c r="E17" s="687">
        <f>ADOLESCENTE!F9</f>
        <v>0</v>
      </c>
      <c r="F17" s="727">
        <f>ADOLESCENTE!G9</f>
        <v>0</v>
      </c>
      <c r="G17" s="690" t="s">
        <v>503</v>
      </c>
      <c r="H17" s="678">
        <f>F17/11</f>
        <v>0</v>
      </c>
      <c r="I17" s="680" t="s">
        <v>503</v>
      </c>
      <c r="J17" s="161"/>
      <c r="K17" s="740"/>
      <c r="L17" s="730"/>
      <c r="M17" s="730"/>
      <c r="N17" s="730"/>
      <c r="O17" s="730"/>
      <c r="P17" s="730"/>
      <c r="Q17" s="730"/>
      <c r="R17" s="730"/>
      <c r="S17" s="730"/>
      <c r="T17" s="730"/>
      <c r="U17" s="730"/>
      <c r="V17" s="730"/>
      <c r="W17" s="165"/>
      <c r="X17" s="670">
        <f>K17+L17+M17+N17+O17+P17+Q17+R17+S17+T17+U17+V17</f>
        <v>0</v>
      </c>
      <c r="Y17" s="672" t="e">
        <f>X17/F17*100</f>
        <v>#DIV/0!</v>
      </c>
      <c r="Z17" s="185"/>
      <c r="AA17" s="713">
        <f>(H17-K17)+(H17-L17)+(H17-M17)+(H17-N17)+(H17-O17)+(H17-P17)+(H17-Q17)+(H17-R17)+(H17-S17)+(H17-T17)+(H17-U17)-V17</f>
        <v>0</v>
      </c>
    </row>
    <row r="18" spans="1:27" ht="34.5" customHeight="1">
      <c r="A18" s="398"/>
      <c r="B18" s="699"/>
      <c r="C18" s="629"/>
      <c r="D18" s="161"/>
      <c r="E18" s="700"/>
      <c r="F18" s="739"/>
      <c r="G18" s="704"/>
      <c r="H18" s="705"/>
      <c r="I18" s="706"/>
      <c r="J18" s="161"/>
      <c r="K18" s="741"/>
      <c r="L18" s="738"/>
      <c r="M18" s="738"/>
      <c r="N18" s="738"/>
      <c r="O18" s="738"/>
      <c r="P18" s="738"/>
      <c r="Q18" s="738"/>
      <c r="R18" s="738"/>
      <c r="S18" s="738"/>
      <c r="T18" s="738"/>
      <c r="U18" s="738"/>
      <c r="V18" s="738"/>
      <c r="W18" s="165"/>
      <c r="X18" s="693"/>
      <c r="Y18" s="595"/>
      <c r="Z18" s="185"/>
      <c r="AA18" s="596"/>
    </row>
    <row r="19" spans="1:27" ht="50.25" customHeight="1">
      <c r="A19" s="398"/>
      <c r="B19" s="684" t="s">
        <v>30</v>
      </c>
      <c r="C19" s="631"/>
      <c r="D19" s="161"/>
      <c r="E19" s="687">
        <f>ADOLESCENTE!F17</f>
        <v>0</v>
      </c>
      <c r="F19" s="724">
        <f>ADOLESCENTE!I17+ADOLESCENTE!I18</f>
        <v>0</v>
      </c>
      <c r="G19" s="703" t="s">
        <v>28</v>
      </c>
      <c r="H19" s="617">
        <f>F19/12</f>
        <v>0</v>
      </c>
      <c r="I19" s="620" t="s">
        <v>28</v>
      </c>
      <c r="J19" s="161"/>
      <c r="K19" s="736"/>
      <c r="L19" s="666"/>
      <c r="M19" s="666"/>
      <c r="N19" s="666"/>
      <c r="O19" s="666"/>
      <c r="P19" s="666"/>
      <c r="Q19" s="666"/>
      <c r="R19" s="666"/>
      <c r="S19" s="666"/>
      <c r="T19" s="666"/>
      <c r="U19" s="666"/>
      <c r="V19" s="674"/>
      <c r="W19" s="165"/>
      <c r="X19" s="670">
        <f>K19+L19+M19+N19+O19+P19+Q19+R19+S19+T19+U19+V19</f>
        <v>0</v>
      </c>
      <c r="Y19" s="672" t="e">
        <f>X19/F19*100</f>
        <v>#DIV/0!</v>
      </c>
      <c r="Z19" s="185"/>
      <c r="AA19" s="713">
        <f>(H19-K19)+(H19-L19)+(H19-M19)+(H19-N19)+(H19-O19)+(H19-P19)+(H19-Q19)+(H19-R19)+(H19-S19)+(H19-T19)+(H19-U19)+(H19-V19)</f>
        <v>0</v>
      </c>
    </row>
    <row r="20" spans="1:27" ht="34.5" customHeight="1">
      <c r="A20" s="398"/>
      <c r="B20" s="685"/>
      <c r="C20" s="686"/>
      <c r="D20" s="161"/>
      <c r="E20" s="688"/>
      <c r="F20" s="725"/>
      <c r="G20" s="691"/>
      <c r="H20" s="725"/>
      <c r="I20" s="681"/>
      <c r="J20" s="161"/>
      <c r="K20" s="737"/>
      <c r="L20" s="667"/>
      <c r="M20" s="667"/>
      <c r="N20" s="667"/>
      <c r="O20" s="667"/>
      <c r="P20" s="667"/>
      <c r="Q20" s="667"/>
      <c r="R20" s="667"/>
      <c r="S20" s="667"/>
      <c r="T20" s="667"/>
      <c r="U20" s="667"/>
      <c r="V20" s="675"/>
      <c r="W20" s="165"/>
      <c r="X20" s="671"/>
      <c r="Y20" s="673"/>
      <c r="Z20" s="185"/>
      <c r="AA20" s="665"/>
    </row>
    <row r="21" spans="2:27" ht="15" customHeight="1" thickBot="1">
      <c r="B21" s="399"/>
      <c r="C21" s="400"/>
      <c r="D21" s="401"/>
      <c r="E21" s="406"/>
      <c r="F21" s="391"/>
      <c r="G21" s="400"/>
      <c r="H21" s="391"/>
      <c r="I21" s="400"/>
      <c r="J21" s="40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2"/>
      <c r="X21" s="391"/>
      <c r="Y21" s="402"/>
      <c r="Z21" s="405"/>
      <c r="AA21" s="402"/>
    </row>
    <row r="22" spans="2:28" ht="24.75" customHeight="1">
      <c r="B22" s="717" t="s">
        <v>31</v>
      </c>
      <c r="C22" s="718"/>
      <c r="D22" s="718"/>
      <c r="E22" s="718"/>
      <c r="F22" s="718"/>
      <c r="G22" s="718"/>
      <c r="H22" s="718"/>
      <c r="I22" s="718"/>
      <c r="J22" s="718"/>
      <c r="K22" s="718"/>
      <c r="L22" s="718"/>
      <c r="M22" s="718"/>
      <c r="N22" s="718"/>
      <c r="O22" s="718"/>
      <c r="P22" s="718"/>
      <c r="Q22" s="718"/>
      <c r="R22" s="718"/>
      <c r="S22" s="718"/>
      <c r="T22" s="718"/>
      <c r="U22" s="718"/>
      <c r="V22" s="718"/>
      <c r="W22" s="718"/>
      <c r="X22" s="718"/>
      <c r="Y22" s="718"/>
      <c r="Z22" s="718"/>
      <c r="AA22" s="719"/>
      <c r="AB22" s="369"/>
    </row>
    <row r="23" spans="2:27" ht="15" customHeight="1" thickBot="1">
      <c r="B23" s="403"/>
      <c r="C23" s="404"/>
      <c r="D23" s="404"/>
      <c r="E23" s="403"/>
      <c r="F23" s="403"/>
      <c r="G23" s="404"/>
      <c r="H23" s="403"/>
      <c r="I23" s="403"/>
      <c r="J23" s="404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4"/>
      <c r="X23" s="403"/>
      <c r="Y23" s="403"/>
      <c r="Z23" s="403"/>
      <c r="AA23" s="403"/>
    </row>
    <row r="24" spans="1:27" ht="33.75" customHeight="1">
      <c r="A24" s="398"/>
      <c r="B24" s="708" t="s">
        <v>32</v>
      </c>
      <c r="C24" s="709"/>
      <c r="D24" s="161"/>
      <c r="E24" s="687">
        <f>ADULTO!F9</f>
        <v>0</v>
      </c>
      <c r="F24" s="678">
        <f>ADULTO!G9+ADULTO!G11+ADULTO!G13</f>
        <v>0</v>
      </c>
      <c r="G24" s="690" t="s">
        <v>402</v>
      </c>
      <c r="H24" s="678">
        <f>F24/12</f>
        <v>0</v>
      </c>
      <c r="I24" s="680" t="s">
        <v>402</v>
      </c>
      <c r="J24" s="161"/>
      <c r="K24" s="720"/>
      <c r="L24" s="715"/>
      <c r="M24" s="715"/>
      <c r="N24" s="715"/>
      <c r="O24" s="715"/>
      <c r="P24" s="715"/>
      <c r="Q24" s="715"/>
      <c r="R24" s="715"/>
      <c r="S24" s="715"/>
      <c r="T24" s="715"/>
      <c r="U24" s="730"/>
      <c r="V24" s="710"/>
      <c r="W24" s="152"/>
      <c r="X24" s="670">
        <f>K24+L24+M24+N24+O24+P24+Q24+R24+S24+T24+U24+V24</f>
        <v>0</v>
      </c>
      <c r="Y24" s="672" t="e">
        <f>X24/F24*100</f>
        <v>#DIV/0!</v>
      </c>
      <c r="Z24" s="185"/>
      <c r="AA24" s="713">
        <f>(H24-K24)+(H24-L24)+(H24-M24)+(H24-N24)+(H24-O24)+(H24-P24)+(H24-Q24)+(H24-R24)+(H24-S24)+(H24-T24)+(H24-U24)+(H24-V24)</f>
        <v>0</v>
      </c>
    </row>
    <row r="25" spans="1:27" ht="33.75" customHeight="1">
      <c r="A25" s="398"/>
      <c r="B25" s="699"/>
      <c r="C25" s="629"/>
      <c r="D25" s="161"/>
      <c r="E25" s="700"/>
      <c r="F25" s="702"/>
      <c r="G25" s="704"/>
      <c r="H25" s="705"/>
      <c r="I25" s="706"/>
      <c r="J25" s="161"/>
      <c r="K25" s="721"/>
      <c r="L25" s="716"/>
      <c r="M25" s="716"/>
      <c r="N25" s="716"/>
      <c r="O25" s="716"/>
      <c r="P25" s="716"/>
      <c r="Q25" s="716"/>
      <c r="R25" s="716"/>
      <c r="S25" s="716"/>
      <c r="T25" s="716"/>
      <c r="U25" s="698"/>
      <c r="V25" s="692"/>
      <c r="W25" s="152"/>
      <c r="X25" s="711"/>
      <c r="Y25" s="712"/>
      <c r="Z25" s="185"/>
      <c r="AA25" s="714"/>
    </row>
    <row r="26" spans="1:27" ht="32.25" customHeight="1">
      <c r="A26" s="398"/>
      <c r="B26" s="684" t="s">
        <v>33</v>
      </c>
      <c r="C26" s="631"/>
      <c r="D26" s="161"/>
      <c r="E26" s="687">
        <f>ADULTO!F18</f>
        <v>0</v>
      </c>
      <c r="F26" s="701">
        <f>ADULTO!I18+ADULTO!I19+ADULTO!I20+ADULTO!I21+ADULTO!I22</f>
        <v>0</v>
      </c>
      <c r="G26" s="703" t="s">
        <v>28</v>
      </c>
      <c r="H26" s="678">
        <f>F26/12</f>
        <v>0</v>
      </c>
      <c r="I26" s="620" t="s">
        <v>28</v>
      </c>
      <c r="J26" s="161"/>
      <c r="K26" s="682"/>
      <c r="L26" s="694"/>
      <c r="M26" s="694"/>
      <c r="N26" s="694"/>
      <c r="O26" s="694"/>
      <c r="P26" s="694"/>
      <c r="Q26" s="694"/>
      <c r="R26" s="694"/>
      <c r="S26" s="694"/>
      <c r="T26" s="694"/>
      <c r="U26" s="694"/>
      <c r="V26" s="696"/>
      <c r="W26" s="165"/>
      <c r="X26" s="501">
        <f>K26+L26+M26+N26+O26+P26+Q26+R26+S26+T26+U26+V26</f>
        <v>0</v>
      </c>
      <c r="Y26" s="590" t="e">
        <f>X26/F26*100</f>
        <v>#DIV/0!</v>
      </c>
      <c r="Z26" s="185"/>
      <c r="AA26" s="591">
        <f>(H26-K26)+(H26-L26)+(H26-M26)+(H26-N26)+(H26-O26)+(H26-P26)+(H26-Q26)+(H26-R26)+(H26-S26)+(H26-T26)+(H26-U26)+(H26-V26)</f>
        <v>0</v>
      </c>
    </row>
    <row r="27" spans="1:27" ht="25.5" customHeight="1">
      <c r="A27" s="398"/>
      <c r="B27" s="699"/>
      <c r="C27" s="629"/>
      <c r="D27" s="161"/>
      <c r="E27" s="700"/>
      <c r="F27" s="702"/>
      <c r="G27" s="704"/>
      <c r="H27" s="705"/>
      <c r="I27" s="706"/>
      <c r="J27" s="161"/>
      <c r="K27" s="707"/>
      <c r="L27" s="695"/>
      <c r="M27" s="695"/>
      <c r="N27" s="695"/>
      <c r="O27" s="695"/>
      <c r="P27" s="695"/>
      <c r="Q27" s="695"/>
      <c r="R27" s="695"/>
      <c r="S27" s="695"/>
      <c r="T27" s="695"/>
      <c r="U27" s="695"/>
      <c r="V27" s="697"/>
      <c r="W27" s="165"/>
      <c r="X27" s="693"/>
      <c r="Y27" s="595"/>
      <c r="Z27" s="185"/>
      <c r="AA27" s="596"/>
    </row>
    <row r="28" spans="1:27" ht="32.25" customHeight="1">
      <c r="A28" s="398"/>
      <c r="B28" s="684" t="s">
        <v>238</v>
      </c>
      <c r="C28" s="631"/>
      <c r="D28" s="161"/>
      <c r="E28" s="687">
        <f>ADULTO!F27</f>
        <v>0</v>
      </c>
      <c r="F28" s="678">
        <f>ADULTO!G27+ADULTO!G29+ADULTO!G31</f>
        <v>0</v>
      </c>
      <c r="G28" s="703" t="s">
        <v>406</v>
      </c>
      <c r="H28" s="728">
        <f>F28/12</f>
        <v>0</v>
      </c>
      <c r="I28" s="620" t="s">
        <v>406</v>
      </c>
      <c r="J28" s="161"/>
      <c r="K28" s="682"/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68"/>
      <c r="W28" s="152"/>
      <c r="X28" s="670">
        <f>K28+L28+M28+N28+O28+P28+Q28+R28+S28+T28+U28+V28</f>
        <v>0</v>
      </c>
      <c r="Y28" s="672" t="e">
        <f>X28/F28*100</f>
        <v>#DIV/0!</v>
      </c>
      <c r="Z28" s="185"/>
      <c r="AA28" s="591">
        <f>(H28-K28)+(H28-L28)+(H28-M28)+(H28-N28)+(H28-O28)+(H28-P28)+(H28-Q28)+(H28-R28)+(H28-S28)+(H28-T28)+(H28-U28)+(H28-V28)</f>
        <v>0</v>
      </c>
    </row>
    <row r="29" spans="1:27" ht="32.25" customHeight="1">
      <c r="A29" s="398"/>
      <c r="B29" s="699"/>
      <c r="C29" s="629"/>
      <c r="D29" s="161"/>
      <c r="E29" s="700"/>
      <c r="F29" s="735"/>
      <c r="G29" s="704"/>
      <c r="H29" s="729"/>
      <c r="I29" s="706"/>
      <c r="J29" s="161"/>
      <c r="K29" s="707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2"/>
      <c r="W29" s="152"/>
      <c r="X29" s="693"/>
      <c r="Y29" s="595"/>
      <c r="Z29" s="185"/>
      <c r="AA29" s="596"/>
    </row>
    <row r="30" spans="1:27" ht="32.25" customHeight="1">
      <c r="A30" s="398"/>
      <c r="B30" s="684" t="s">
        <v>35</v>
      </c>
      <c r="C30" s="631"/>
      <c r="D30" s="161"/>
      <c r="E30" s="687">
        <f>ADULTO!F36</f>
        <v>0</v>
      </c>
      <c r="F30" s="724">
        <f>ADULTO!I36+ADULTO!I37+ADULTO!I38+ADULTO!I39</f>
        <v>0</v>
      </c>
      <c r="G30" s="703" t="s">
        <v>28</v>
      </c>
      <c r="H30" s="724">
        <f>F30/12</f>
        <v>0</v>
      </c>
      <c r="I30" s="620" t="s">
        <v>28</v>
      </c>
      <c r="J30" s="161"/>
      <c r="K30" s="682"/>
      <c r="L30" s="676"/>
      <c r="M30" s="666"/>
      <c r="N30" s="666"/>
      <c r="O30" s="694"/>
      <c r="P30" s="676"/>
      <c r="Q30" s="666"/>
      <c r="R30" s="676"/>
      <c r="S30" s="666"/>
      <c r="T30" s="666"/>
      <c r="U30" s="666"/>
      <c r="V30" s="668"/>
      <c r="W30" s="152"/>
      <c r="X30" s="670">
        <f>K30+L30+M30+N30+O30+P30+Q30+R30+S30+T30+U30+V30</f>
        <v>0</v>
      </c>
      <c r="Y30" s="672" t="e">
        <f>X30/F30*100</f>
        <v>#DIV/0!</v>
      </c>
      <c r="Z30" s="185"/>
      <c r="AA30" s="591">
        <f>(H30-K30)+(H30-L30)+(H30-M30)+(H30-N30)+(H30-O30)+(H30-P30)+(H30-Q30)+(H30-R30)+(H30-S30)+(H30-T30)+(H30-U30)+(H30-V30)</f>
        <v>0</v>
      </c>
    </row>
    <row r="31" spans="1:27" ht="25.5" customHeight="1">
      <c r="A31" s="398"/>
      <c r="B31" s="685"/>
      <c r="C31" s="686"/>
      <c r="D31" s="161"/>
      <c r="E31" s="688"/>
      <c r="F31" s="725"/>
      <c r="G31" s="691"/>
      <c r="H31" s="734"/>
      <c r="I31" s="681"/>
      <c r="J31" s="161"/>
      <c r="K31" s="683"/>
      <c r="L31" s="677"/>
      <c r="M31" s="667"/>
      <c r="N31" s="667"/>
      <c r="O31" s="723"/>
      <c r="P31" s="677"/>
      <c r="Q31" s="667"/>
      <c r="R31" s="677"/>
      <c r="S31" s="667"/>
      <c r="T31" s="667"/>
      <c r="U31" s="667"/>
      <c r="V31" s="669"/>
      <c r="W31" s="152"/>
      <c r="X31" s="671"/>
      <c r="Y31" s="673"/>
      <c r="Z31" s="185"/>
      <c r="AA31" s="665"/>
    </row>
    <row r="32" spans="2:27" ht="15" customHeight="1" thickBot="1">
      <c r="B32" s="399"/>
      <c r="C32" s="400"/>
      <c r="D32" s="401"/>
      <c r="E32" s="406"/>
      <c r="F32" s="391"/>
      <c r="G32" s="400"/>
      <c r="H32" s="391"/>
      <c r="I32" s="400"/>
      <c r="J32" s="401"/>
      <c r="K32" s="399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2"/>
      <c r="X32" s="391"/>
      <c r="Y32" s="402"/>
      <c r="Z32" s="402"/>
      <c r="AA32" s="402"/>
    </row>
    <row r="33" spans="2:28" ht="24.75" customHeight="1">
      <c r="B33" s="717" t="s">
        <v>36</v>
      </c>
      <c r="C33" s="718"/>
      <c r="D33" s="718"/>
      <c r="E33" s="718"/>
      <c r="F33" s="718"/>
      <c r="G33" s="718"/>
      <c r="H33" s="718"/>
      <c r="I33" s="718"/>
      <c r="J33" s="718"/>
      <c r="K33" s="718"/>
      <c r="L33" s="718"/>
      <c r="M33" s="718"/>
      <c r="N33" s="718"/>
      <c r="O33" s="718"/>
      <c r="P33" s="718"/>
      <c r="Q33" s="718"/>
      <c r="R33" s="718"/>
      <c r="S33" s="718"/>
      <c r="T33" s="718"/>
      <c r="U33" s="718"/>
      <c r="V33" s="718"/>
      <c r="W33" s="718"/>
      <c r="X33" s="718"/>
      <c r="Y33" s="718"/>
      <c r="Z33" s="718"/>
      <c r="AA33" s="719"/>
      <c r="AB33" s="369"/>
    </row>
    <row r="34" spans="2:27" ht="15" customHeight="1" thickBot="1"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4"/>
      <c r="X34" s="403"/>
      <c r="Y34" s="403"/>
      <c r="Z34" s="403"/>
      <c r="AA34" s="403"/>
    </row>
    <row r="35" spans="1:27" ht="30" customHeight="1">
      <c r="A35" s="398"/>
      <c r="B35" s="708" t="s">
        <v>37</v>
      </c>
      <c r="C35" s="709"/>
      <c r="D35" s="161"/>
      <c r="E35" s="687">
        <f>ADULTO!F45</f>
        <v>0</v>
      </c>
      <c r="F35" s="678">
        <f>ADULTO!G45</f>
        <v>0</v>
      </c>
      <c r="G35" s="690" t="s">
        <v>408</v>
      </c>
      <c r="H35" s="728">
        <f>F35/12</f>
        <v>0</v>
      </c>
      <c r="I35" s="680" t="s">
        <v>408</v>
      </c>
      <c r="J35" s="161"/>
      <c r="K35" s="720"/>
      <c r="L35" s="715"/>
      <c r="M35" s="715"/>
      <c r="N35" s="715"/>
      <c r="O35" s="715"/>
      <c r="P35" s="715"/>
      <c r="Q35" s="715"/>
      <c r="R35" s="715"/>
      <c r="S35" s="715"/>
      <c r="T35" s="715"/>
      <c r="U35" s="730"/>
      <c r="V35" s="710"/>
      <c r="W35" s="152"/>
      <c r="X35" s="670">
        <f>K35+L35+M35+N35+O35+P35+Q35+R35+S35+T35+U35+V35</f>
        <v>0</v>
      </c>
      <c r="Y35" s="672" t="e">
        <f>X35/F35*100</f>
        <v>#DIV/0!</v>
      </c>
      <c r="Z35" s="185"/>
      <c r="AA35" s="713">
        <f>(H35-K35)+(H35-L35)+(H35-M35)+(H35-N35)+(H35-O35)+(H35-P35)+(H35-Q35)+(H35-R35)+(H35-S35)+(H35-T35)+(H35-U35)+(H35-V35)</f>
        <v>0</v>
      </c>
    </row>
    <row r="36" spans="1:27" ht="30" customHeight="1">
      <c r="A36" s="398"/>
      <c r="B36" s="699"/>
      <c r="C36" s="629"/>
      <c r="D36" s="161"/>
      <c r="E36" s="700"/>
      <c r="F36" s="702"/>
      <c r="G36" s="704"/>
      <c r="H36" s="729"/>
      <c r="I36" s="706"/>
      <c r="J36" s="161"/>
      <c r="K36" s="721"/>
      <c r="L36" s="716"/>
      <c r="M36" s="716"/>
      <c r="N36" s="716"/>
      <c r="O36" s="716"/>
      <c r="P36" s="716"/>
      <c r="Q36" s="716"/>
      <c r="R36" s="716"/>
      <c r="S36" s="716"/>
      <c r="T36" s="716"/>
      <c r="U36" s="698"/>
      <c r="V36" s="692"/>
      <c r="W36" s="152"/>
      <c r="X36" s="711"/>
      <c r="Y36" s="712"/>
      <c r="Z36" s="185"/>
      <c r="AA36" s="596"/>
    </row>
    <row r="37" spans="1:27" ht="30" customHeight="1">
      <c r="A37" s="398"/>
      <c r="B37" s="684" t="s">
        <v>38</v>
      </c>
      <c r="C37" s="631"/>
      <c r="D37" s="161"/>
      <c r="E37" s="687">
        <f>ADULTO!F54</f>
        <v>0</v>
      </c>
      <c r="F37" s="701">
        <f>ADULTO!G54</f>
        <v>0</v>
      </c>
      <c r="G37" s="703" t="s">
        <v>415</v>
      </c>
      <c r="H37" s="701">
        <f>F37/12</f>
        <v>0</v>
      </c>
      <c r="I37" s="620" t="s">
        <v>415</v>
      </c>
      <c r="J37" s="161"/>
      <c r="K37" s="682"/>
      <c r="L37" s="694"/>
      <c r="M37" s="694"/>
      <c r="N37" s="694"/>
      <c r="O37" s="696"/>
      <c r="P37" s="666"/>
      <c r="Q37" s="694"/>
      <c r="R37" s="694"/>
      <c r="S37" s="694"/>
      <c r="T37" s="694"/>
      <c r="U37" s="694"/>
      <c r="V37" s="668"/>
      <c r="W37" s="152"/>
      <c r="X37" s="501">
        <f>K37+L37+M37+N37+O37+P37+Q37+R37+S37+T37+U37+V37</f>
        <v>0</v>
      </c>
      <c r="Y37" s="590" t="e">
        <f>X37/F37*100</f>
        <v>#DIV/0!</v>
      </c>
      <c r="Z37" s="185"/>
      <c r="AA37" s="591">
        <f>(H37-K37)+(H37-L37)+(H37-M37)+(H37-N37)+(H37-O37)+(H37-P37)+(H37-Q37)+(H37-R37)+(H37-S37)+(H37-T37)+(H37-U37)+(H37-V37)</f>
        <v>0</v>
      </c>
    </row>
    <row r="38" spans="1:27" ht="30" customHeight="1">
      <c r="A38" s="398"/>
      <c r="B38" s="699"/>
      <c r="C38" s="629"/>
      <c r="D38" s="161"/>
      <c r="E38" s="700"/>
      <c r="F38" s="705"/>
      <c r="G38" s="704"/>
      <c r="H38" s="705"/>
      <c r="I38" s="706"/>
      <c r="J38" s="161"/>
      <c r="K38" s="707"/>
      <c r="L38" s="695"/>
      <c r="M38" s="695"/>
      <c r="N38" s="695"/>
      <c r="O38" s="697"/>
      <c r="P38" s="698"/>
      <c r="Q38" s="695"/>
      <c r="R38" s="695"/>
      <c r="S38" s="695"/>
      <c r="T38" s="695"/>
      <c r="U38" s="695"/>
      <c r="V38" s="692"/>
      <c r="W38" s="152"/>
      <c r="X38" s="693"/>
      <c r="Y38" s="595"/>
      <c r="Z38" s="185"/>
      <c r="AA38" s="596"/>
    </row>
    <row r="39" spans="1:27" ht="30" customHeight="1">
      <c r="A39" s="398"/>
      <c r="B39" s="684" t="s">
        <v>39</v>
      </c>
      <c r="C39" s="631"/>
      <c r="D39" s="161"/>
      <c r="E39" s="687">
        <f>ADULTO!F62</f>
        <v>0</v>
      </c>
      <c r="F39" s="678">
        <f>ADULTO!G62</f>
        <v>0</v>
      </c>
      <c r="G39" s="690" t="s">
        <v>374</v>
      </c>
      <c r="H39" s="678">
        <f>F39/12</f>
        <v>0</v>
      </c>
      <c r="I39" s="680" t="s">
        <v>374</v>
      </c>
      <c r="J39" s="161"/>
      <c r="K39" s="682"/>
      <c r="L39" s="694"/>
      <c r="M39" s="694"/>
      <c r="N39" s="694"/>
      <c r="O39" s="696"/>
      <c r="P39" s="666"/>
      <c r="Q39" s="694"/>
      <c r="R39" s="694"/>
      <c r="S39" s="694"/>
      <c r="T39" s="694"/>
      <c r="U39" s="694"/>
      <c r="V39" s="668"/>
      <c r="W39" s="152"/>
      <c r="X39" s="670">
        <f>K39+L39+M39+N39+O39+P39+Q39+R39+S39+T39+U39+V39</f>
        <v>0</v>
      </c>
      <c r="Y39" s="672" t="e">
        <f>X39/F39*100</f>
        <v>#DIV/0!</v>
      </c>
      <c r="Z39" s="185"/>
      <c r="AA39" s="713">
        <f>(H39-K39)+(H39-L39)+(H39-M39)+(H39-N39)+(H39-O39)+(H39-P39)+(H39-Q39)+(H39-R39)+(H39-S39)+(H39-T39)+(H39-U39)+(H39-V39)</f>
        <v>0</v>
      </c>
    </row>
    <row r="40" spans="1:27" ht="30" customHeight="1">
      <c r="A40" s="398"/>
      <c r="B40" s="685"/>
      <c r="C40" s="686"/>
      <c r="D40" s="161"/>
      <c r="E40" s="688"/>
      <c r="F40" s="689"/>
      <c r="G40" s="691"/>
      <c r="H40" s="679"/>
      <c r="I40" s="681"/>
      <c r="J40" s="161"/>
      <c r="K40" s="683"/>
      <c r="L40" s="723"/>
      <c r="M40" s="723"/>
      <c r="N40" s="723"/>
      <c r="O40" s="677"/>
      <c r="P40" s="667"/>
      <c r="Q40" s="723"/>
      <c r="R40" s="723"/>
      <c r="S40" s="723"/>
      <c r="T40" s="723"/>
      <c r="U40" s="723"/>
      <c r="V40" s="669"/>
      <c r="W40" s="223"/>
      <c r="X40" s="671"/>
      <c r="Y40" s="673"/>
      <c r="Z40" s="185"/>
      <c r="AA40" s="665"/>
    </row>
    <row r="41" spans="2:27" ht="15" customHeight="1" thickBot="1">
      <c r="B41" s="399"/>
      <c r="C41" s="400"/>
      <c r="D41" s="401"/>
      <c r="E41" s="406"/>
      <c r="F41" s="391"/>
      <c r="G41" s="400"/>
      <c r="H41" s="391"/>
      <c r="I41" s="400"/>
      <c r="J41" s="40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2"/>
      <c r="X41" s="391"/>
      <c r="Y41" s="402"/>
      <c r="Z41" s="402"/>
      <c r="AA41" s="406"/>
    </row>
    <row r="42" spans="2:28" ht="24.75" customHeight="1">
      <c r="B42" s="717" t="s">
        <v>40</v>
      </c>
      <c r="C42" s="718"/>
      <c r="D42" s="718"/>
      <c r="E42" s="718"/>
      <c r="F42" s="718"/>
      <c r="G42" s="718"/>
      <c r="H42" s="718"/>
      <c r="I42" s="718"/>
      <c r="J42" s="718"/>
      <c r="K42" s="718"/>
      <c r="L42" s="718"/>
      <c r="M42" s="718"/>
      <c r="N42" s="718"/>
      <c r="O42" s="718"/>
      <c r="P42" s="718"/>
      <c r="Q42" s="718"/>
      <c r="R42" s="718"/>
      <c r="S42" s="718"/>
      <c r="T42" s="718"/>
      <c r="U42" s="718"/>
      <c r="V42" s="718"/>
      <c r="W42" s="718"/>
      <c r="X42" s="718"/>
      <c r="Y42" s="718"/>
      <c r="Z42" s="718"/>
      <c r="AA42" s="719"/>
      <c r="AB42" s="369"/>
    </row>
    <row r="43" spans="2:27" ht="15" customHeight="1" thickBot="1">
      <c r="B43" s="403"/>
      <c r="C43" s="403"/>
      <c r="D43" s="404"/>
      <c r="E43" s="403"/>
      <c r="F43" s="403"/>
      <c r="G43" s="403"/>
      <c r="H43" s="403"/>
      <c r="I43" s="403"/>
      <c r="J43" s="404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4"/>
      <c r="X43" s="403"/>
      <c r="Y43" s="403"/>
      <c r="Z43" s="403"/>
      <c r="AA43" s="403"/>
    </row>
    <row r="44" spans="1:27" ht="36.75" customHeight="1">
      <c r="A44" s="398"/>
      <c r="B44" s="708" t="s">
        <v>41</v>
      </c>
      <c r="C44" s="709"/>
      <c r="D44" s="161"/>
      <c r="E44" s="687">
        <f>ADULTO!F67</f>
        <v>0</v>
      </c>
      <c r="F44" s="678">
        <f>ADULTO!G67+ADULTO!G68</f>
        <v>0</v>
      </c>
      <c r="G44" s="690" t="s">
        <v>171</v>
      </c>
      <c r="H44" s="678">
        <f>F44/12</f>
        <v>0</v>
      </c>
      <c r="I44" s="680" t="s">
        <v>171</v>
      </c>
      <c r="J44" s="161"/>
      <c r="K44" s="720"/>
      <c r="L44" s="715"/>
      <c r="M44" s="715"/>
      <c r="N44" s="715"/>
      <c r="O44" s="715"/>
      <c r="P44" s="715"/>
      <c r="Q44" s="715"/>
      <c r="R44" s="715"/>
      <c r="S44" s="715"/>
      <c r="T44" s="715"/>
      <c r="U44" s="730"/>
      <c r="V44" s="710"/>
      <c r="W44" s="152"/>
      <c r="X44" s="670">
        <f>K44+L44+M44+N44+O44+P44+Q44+R44+S44+T44+U44+V44</f>
        <v>0</v>
      </c>
      <c r="Y44" s="672" t="e">
        <f>X44/F44*100</f>
        <v>#DIV/0!</v>
      </c>
      <c r="Z44" s="185"/>
      <c r="AA44" s="713">
        <f>(H44-K44)+(H44-L44)+(H44-M44)+(H44-N44)+(H44-O44)+(H44-P44)+(H44-Q44)+(H44-R44)+(H44-S44)+(H44-T44)+(H44-U44)+(H44-V44)</f>
        <v>0</v>
      </c>
    </row>
    <row r="45" spans="1:27" ht="36.75" customHeight="1">
      <c r="A45" s="398"/>
      <c r="B45" s="699"/>
      <c r="C45" s="629"/>
      <c r="D45" s="161"/>
      <c r="E45" s="700"/>
      <c r="F45" s="702"/>
      <c r="G45" s="704"/>
      <c r="H45" s="705"/>
      <c r="I45" s="706"/>
      <c r="J45" s="161"/>
      <c r="K45" s="721"/>
      <c r="L45" s="716"/>
      <c r="M45" s="716"/>
      <c r="N45" s="716"/>
      <c r="O45" s="716"/>
      <c r="P45" s="716"/>
      <c r="Q45" s="716"/>
      <c r="R45" s="716"/>
      <c r="S45" s="716"/>
      <c r="T45" s="716"/>
      <c r="U45" s="698"/>
      <c r="V45" s="692"/>
      <c r="W45" s="152"/>
      <c r="X45" s="693"/>
      <c r="Y45" s="595"/>
      <c r="Z45" s="185"/>
      <c r="AA45" s="596"/>
    </row>
    <row r="46" spans="1:27" ht="45" customHeight="1">
      <c r="A46" s="398"/>
      <c r="B46" s="684" t="s">
        <v>42</v>
      </c>
      <c r="C46" s="631"/>
      <c r="D46" s="161"/>
      <c r="E46" s="732">
        <f>ADULTO!F72</f>
        <v>0</v>
      </c>
      <c r="F46" s="678">
        <f>ADULTO!G72</f>
        <v>0</v>
      </c>
      <c r="G46" s="690" t="s">
        <v>170</v>
      </c>
      <c r="H46" s="678">
        <f>F46/12</f>
        <v>0</v>
      </c>
      <c r="I46" s="680" t="s">
        <v>170</v>
      </c>
      <c r="J46" s="161"/>
      <c r="K46" s="682"/>
      <c r="L46" s="694"/>
      <c r="M46" s="694"/>
      <c r="N46" s="694"/>
      <c r="O46" s="694"/>
      <c r="P46" s="694"/>
      <c r="Q46" s="694"/>
      <c r="R46" s="694"/>
      <c r="S46" s="694"/>
      <c r="T46" s="694"/>
      <c r="U46" s="694"/>
      <c r="V46" s="668"/>
      <c r="W46" s="152"/>
      <c r="X46" s="670">
        <f>K46+L46+M46+N46+O46+P46+Q46+R46+S46+T46+U46+V46</f>
        <v>0</v>
      </c>
      <c r="Y46" s="672" t="e">
        <f>X46/F46*100</f>
        <v>#DIV/0!</v>
      </c>
      <c r="Z46" s="185"/>
      <c r="AA46" s="713">
        <f>(H46-K46)+(H46-L46)+(H46-M46)+(H46-N46)+(H46-O46)+(H46-P46)+(H46-Q46)+(H46-R46)+(H46-S46)+(H46-T46)+(H46-U46)+(H46-V46)</f>
        <v>0</v>
      </c>
    </row>
    <row r="47" spans="1:27" ht="30" customHeight="1">
      <c r="A47" s="398"/>
      <c r="B47" s="685"/>
      <c r="C47" s="686"/>
      <c r="D47" s="161"/>
      <c r="E47" s="733"/>
      <c r="F47" s="689"/>
      <c r="G47" s="691"/>
      <c r="H47" s="679"/>
      <c r="I47" s="681"/>
      <c r="J47" s="161"/>
      <c r="K47" s="683"/>
      <c r="L47" s="723"/>
      <c r="M47" s="723"/>
      <c r="N47" s="723"/>
      <c r="O47" s="723"/>
      <c r="P47" s="723"/>
      <c r="Q47" s="723"/>
      <c r="R47" s="723"/>
      <c r="S47" s="723"/>
      <c r="T47" s="723"/>
      <c r="U47" s="723"/>
      <c r="V47" s="669"/>
      <c r="W47" s="152"/>
      <c r="X47" s="671"/>
      <c r="Y47" s="673"/>
      <c r="Z47" s="185"/>
      <c r="AA47" s="665"/>
    </row>
    <row r="48" spans="2:27" ht="15" customHeight="1" thickBot="1">
      <c r="B48" s="399"/>
      <c r="C48" s="400"/>
      <c r="D48" s="401"/>
      <c r="E48" s="402"/>
      <c r="F48" s="391"/>
      <c r="G48" s="400"/>
      <c r="H48" s="391"/>
      <c r="I48" s="400"/>
      <c r="J48" s="401"/>
      <c r="K48" s="399"/>
      <c r="L48" s="391"/>
      <c r="M48" s="391"/>
      <c r="N48" s="391"/>
      <c r="O48" s="391"/>
      <c r="P48" s="399"/>
      <c r="Q48" s="391"/>
      <c r="R48" s="391"/>
      <c r="S48" s="391"/>
      <c r="T48" s="391"/>
      <c r="U48" s="391"/>
      <c r="V48" s="391"/>
      <c r="W48" s="392"/>
      <c r="X48" s="391"/>
      <c r="Y48" s="402"/>
      <c r="Z48" s="405"/>
      <c r="AA48" s="406"/>
    </row>
    <row r="49" spans="2:28" ht="24.75" customHeight="1">
      <c r="B49" s="717" t="s">
        <v>43</v>
      </c>
      <c r="C49" s="718"/>
      <c r="D49" s="718"/>
      <c r="E49" s="718"/>
      <c r="F49" s="718"/>
      <c r="G49" s="718"/>
      <c r="H49" s="718"/>
      <c r="I49" s="718"/>
      <c r="J49" s="718"/>
      <c r="K49" s="718"/>
      <c r="L49" s="718"/>
      <c r="M49" s="718"/>
      <c r="N49" s="718"/>
      <c r="O49" s="718"/>
      <c r="P49" s="718"/>
      <c r="Q49" s="718"/>
      <c r="R49" s="718"/>
      <c r="S49" s="718"/>
      <c r="T49" s="718"/>
      <c r="U49" s="718"/>
      <c r="V49" s="718"/>
      <c r="W49" s="718"/>
      <c r="X49" s="718"/>
      <c r="Y49" s="718"/>
      <c r="Z49" s="718"/>
      <c r="AA49" s="719"/>
      <c r="AB49" s="369"/>
    </row>
    <row r="50" spans="2:27" ht="15" customHeight="1" thickBot="1">
      <c r="B50" s="403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4"/>
      <c r="X50" s="403"/>
      <c r="Y50" s="403"/>
      <c r="Z50" s="403"/>
      <c r="AA50" s="403"/>
    </row>
    <row r="51" spans="1:27" ht="43.5" customHeight="1">
      <c r="A51" s="398"/>
      <c r="B51" s="708" t="s">
        <v>44</v>
      </c>
      <c r="C51" s="709"/>
      <c r="D51" s="161"/>
      <c r="E51" s="687">
        <f>ADULTO!F76</f>
        <v>0</v>
      </c>
      <c r="F51" s="678">
        <f>ADULTO!G76</f>
        <v>0</v>
      </c>
      <c r="G51" s="690" t="s">
        <v>629</v>
      </c>
      <c r="H51" s="728">
        <f>F51/12</f>
        <v>0</v>
      </c>
      <c r="I51" s="680" t="s">
        <v>629</v>
      </c>
      <c r="J51" s="161"/>
      <c r="K51" s="720"/>
      <c r="L51" s="715"/>
      <c r="M51" s="715"/>
      <c r="N51" s="715"/>
      <c r="O51" s="715"/>
      <c r="P51" s="715"/>
      <c r="Q51" s="715"/>
      <c r="R51" s="715"/>
      <c r="S51" s="715"/>
      <c r="T51" s="715"/>
      <c r="U51" s="730"/>
      <c r="V51" s="710"/>
      <c r="W51" s="185"/>
      <c r="X51" s="670">
        <f>K51+L51+M51+N51+O51+P51+Q51+R51+S51+T51+U51+V51</f>
        <v>0</v>
      </c>
      <c r="Y51" s="672" t="e">
        <f>X51/F51*100</f>
        <v>#DIV/0!</v>
      </c>
      <c r="Z51" s="185"/>
      <c r="AA51" s="713">
        <f>(H51-K51)+(H51-L51)+(H51-M51)+(H51-N51)+(H51-O51)+(H51-P51)+(H51-Q51)+(H51-R51)+(H51-S51)+(H51-T51)+(H51-U51)+(H51-V51)</f>
        <v>0</v>
      </c>
    </row>
    <row r="52" spans="1:27" ht="53.25" customHeight="1">
      <c r="A52" s="398"/>
      <c r="B52" s="699"/>
      <c r="C52" s="629"/>
      <c r="D52" s="161"/>
      <c r="E52" s="700"/>
      <c r="F52" s="702"/>
      <c r="G52" s="704"/>
      <c r="H52" s="729"/>
      <c r="I52" s="706"/>
      <c r="J52" s="161"/>
      <c r="K52" s="721"/>
      <c r="L52" s="716"/>
      <c r="M52" s="716"/>
      <c r="N52" s="716"/>
      <c r="O52" s="716"/>
      <c r="P52" s="716"/>
      <c r="Q52" s="716"/>
      <c r="R52" s="716"/>
      <c r="S52" s="716"/>
      <c r="T52" s="716"/>
      <c r="U52" s="698"/>
      <c r="V52" s="692"/>
      <c r="W52" s="185"/>
      <c r="X52" s="693"/>
      <c r="Y52" s="595"/>
      <c r="Z52" s="185"/>
      <c r="AA52" s="596"/>
    </row>
    <row r="53" spans="1:27" ht="36" customHeight="1">
      <c r="A53" s="398"/>
      <c r="B53" s="684" t="s">
        <v>45</v>
      </c>
      <c r="C53" s="631"/>
      <c r="D53" s="161"/>
      <c r="E53" s="732">
        <f>ADULTO!F78</f>
        <v>0</v>
      </c>
      <c r="F53" s="678">
        <f>ADULTO!G78</f>
        <v>0</v>
      </c>
      <c r="G53" s="690" t="s">
        <v>46</v>
      </c>
      <c r="H53" s="728">
        <f>F53/12</f>
        <v>0</v>
      </c>
      <c r="I53" s="680" t="s">
        <v>46</v>
      </c>
      <c r="J53" s="161"/>
      <c r="K53" s="682"/>
      <c r="L53" s="694"/>
      <c r="M53" s="694"/>
      <c r="N53" s="694"/>
      <c r="O53" s="696"/>
      <c r="P53" s="666"/>
      <c r="Q53" s="694"/>
      <c r="R53" s="694"/>
      <c r="S53" s="694"/>
      <c r="T53" s="694"/>
      <c r="U53" s="694"/>
      <c r="V53" s="668"/>
      <c r="W53" s="185"/>
      <c r="X53" s="670">
        <f>K53+L53+M53+N53+O53+P53+Q53+R53+S53+T53+U53+V53</f>
        <v>0</v>
      </c>
      <c r="Y53" s="672" t="e">
        <f>X53/F53*100</f>
        <v>#DIV/0!</v>
      </c>
      <c r="Z53" s="185"/>
      <c r="AA53" s="713">
        <f>(H53-K53)+(H53-L53)+(H53-M53)+(H53-N53)+(H53-O53)+(H53-P53)+(H53-Q53)+(H53-R53)+(H53-S53)+(H53-T53)+(H53-U53)+(H53-V53)</f>
        <v>0</v>
      </c>
    </row>
    <row r="54" spans="1:27" ht="36" customHeight="1">
      <c r="A54" s="398"/>
      <c r="B54" s="685"/>
      <c r="C54" s="686"/>
      <c r="D54" s="161"/>
      <c r="E54" s="733"/>
      <c r="F54" s="689"/>
      <c r="G54" s="691"/>
      <c r="H54" s="731"/>
      <c r="I54" s="681"/>
      <c r="J54" s="161"/>
      <c r="K54" s="683"/>
      <c r="L54" s="723"/>
      <c r="M54" s="723"/>
      <c r="N54" s="723"/>
      <c r="O54" s="677"/>
      <c r="P54" s="667"/>
      <c r="Q54" s="723"/>
      <c r="R54" s="723"/>
      <c r="S54" s="723"/>
      <c r="T54" s="723"/>
      <c r="U54" s="723"/>
      <c r="V54" s="669"/>
      <c r="W54" s="185"/>
      <c r="X54" s="671"/>
      <c r="Y54" s="673"/>
      <c r="Z54" s="185"/>
      <c r="AA54" s="665"/>
    </row>
    <row r="55" spans="2:27" ht="15" customHeight="1" thickBot="1">
      <c r="B55" s="399"/>
      <c r="C55" s="400"/>
      <c r="D55" s="401"/>
      <c r="E55" s="402"/>
      <c r="F55" s="391"/>
      <c r="G55" s="400"/>
      <c r="H55" s="391"/>
      <c r="I55" s="400"/>
      <c r="J55" s="401"/>
      <c r="K55" s="399"/>
      <c r="L55" s="391"/>
      <c r="M55" s="391"/>
      <c r="N55" s="391"/>
      <c r="O55" s="391"/>
      <c r="P55" s="399"/>
      <c r="Q55" s="391"/>
      <c r="R55" s="391"/>
      <c r="S55" s="391"/>
      <c r="T55" s="391"/>
      <c r="U55" s="391"/>
      <c r="V55" s="402"/>
      <c r="W55" s="407"/>
      <c r="X55" s="391"/>
      <c r="Y55" s="402"/>
      <c r="Z55" s="405"/>
      <c r="AA55" s="402"/>
    </row>
    <row r="56" spans="2:28" ht="24.75" customHeight="1">
      <c r="B56" s="717" t="s">
        <v>47</v>
      </c>
      <c r="C56" s="718"/>
      <c r="D56" s="718"/>
      <c r="E56" s="718"/>
      <c r="F56" s="718"/>
      <c r="G56" s="718"/>
      <c r="H56" s="718"/>
      <c r="I56" s="718"/>
      <c r="J56" s="718"/>
      <c r="K56" s="718"/>
      <c r="L56" s="718"/>
      <c r="M56" s="718"/>
      <c r="N56" s="718"/>
      <c r="O56" s="718"/>
      <c r="P56" s="718"/>
      <c r="Q56" s="718"/>
      <c r="R56" s="718"/>
      <c r="S56" s="718"/>
      <c r="T56" s="718"/>
      <c r="U56" s="718"/>
      <c r="V56" s="718"/>
      <c r="W56" s="718"/>
      <c r="X56" s="718"/>
      <c r="Y56" s="718"/>
      <c r="Z56" s="718"/>
      <c r="AA56" s="719"/>
      <c r="AB56" s="369"/>
    </row>
    <row r="57" spans="2:27" ht="15" customHeight="1" thickBot="1">
      <c r="B57" s="403"/>
      <c r="C57" s="403"/>
      <c r="D57" s="403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4"/>
      <c r="X57" s="403"/>
      <c r="Y57" s="403"/>
      <c r="Z57" s="403"/>
      <c r="AA57" s="403"/>
    </row>
    <row r="58" spans="1:27" ht="30" customHeight="1">
      <c r="A58" s="398"/>
      <c r="B58" s="708" t="s">
        <v>48</v>
      </c>
      <c r="C58" s="709"/>
      <c r="D58" s="161"/>
      <c r="E58" s="687">
        <f>GESTANTE!F9</f>
        <v>0</v>
      </c>
      <c r="F58" s="678">
        <f>GESTANTE!G9</f>
        <v>0</v>
      </c>
      <c r="G58" s="690" t="s">
        <v>178</v>
      </c>
      <c r="H58" s="678">
        <f>F58/12</f>
        <v>0</v>
      </c>
      <c r="I58" s="680" t="s">
        <v>178</v>
      </c>
      <c r="J58" s="161"/>
      <c r="K58" s="720"/>
      <c r="L58" s="715"/>
      <c r="M58" s="715"/>
      <c r="N58" s="715"/>
      <c r="O58" s="715"/>
      <c r="P58" s="715"/>
      <c r="Q58" s="715"/>
      <c r="R58" s="715"/>
      <c r="S58" s="715"/>
      <c r="T58" s="715"/>
      <c r="U58" s="730"/>
      <c r="V58" s="710"/>
      <c r="W58" s="152"/>
      <c r="X58" s="670">
        <f>K58+L58+M58+N58+O58+P58+Q58+R58+S58+T58+U58+V58</f>
        <v>0</v>
      </c>
      <c r="Y58" s="672" t="e">
        <f>X58/F58*100</f>
        <v>#DIV/0!</v>
      </c>
      <c r="Z58" s="185"/>
      <c r="AA58" s="713">
        <f>(H58-K58)+(H58-L58)+(H58-M58)+(H58-N58)+(H58-O58)+(H58-P58)+(H58-Q58)+(H58-R58)+(H58-S58)+(H58-T58)+(H58-U58)+(H58-V58)</f>
        <v>0</v>
      </c>
    </row>
    <row r="59" spans="1:27" ht="33.75" customHeight="1">
      <c r="A59" s="398"/>
      <c r="B59" s="699"/>
      <c r="C59" s="629"/>
      <c r="D59" s="161"/>
      <c r="E59" s="700"/>
      <c r="F59" s="702"/>
      <c r="G59" s="704"/>
      <c r="H59" s="705"/>
      <c r="I59" s="706"/>
      <c r="J59" s="161"/>
      <c r="K59" s="721"/>
      <c r="L59" s="716"/>
      <c r="M59" s="716"/>
      <c r="N59" s="716"/>
      <c r="O59" s="716"/>
      <c r="P59" s="716"/>
      <c r="Q59" s="716"/>
      <c r="R59" s="716"/>
      <c r="S59" s="716"/>
      <c r="T59" s="716"/>
      <c r="U59" s="698"/>
      <c r="V59" s="692"/>
      <c r="W59" s="152"/>
      <c r="X59" s="711"/>
      <c r="Y59" s="712"/>
      <c r="Z59" s="185"/>
      <c r="AA59" s="714"/>
    </row>
    <row r="60" spans="1:27" ht="48.75" customHeight="1">
      <c r="A60" s="398"/>
      <c r="B60" s="684" t="s">
        <v>49</v>
      </c>
      <c r="C60" s="631"/>
      <c r="D60" s="161"/>
      <c r="E60" s="687">
        <f>GESTANTE!F9</f>
        <v>0</v>
      </c>
      <c r="F60" s="678">
        <f>GESTANTE!I9+GESTANTE!I10</f>
        <v>0</v>
      </c>
      <c r="G60" s="690" t="s">
        <v>28</v>
      </c>
      <c r="H60" s="678">
        <f>F60/12</f>
        <v>0</v>
      </c>
      <c r="I60" s="680" t="s">
        <v>28</v>
      </c>
      <c r="J60" s="161"/>
      <c r="K60" s="682"/>
      <c r="L60" s="694"/>
      <c r="M60" s="694"/>
      <c r="N60" s="694"/>
      <c r="O60" s="696"/>
      <c r="P60" s="666"/>
      <c r="Q60" s="694"/>
      <c r="R60" s="694"/>
      <c r="S60" s="694"/>
      <c r="T60" s="694"/>
      <c r="U60" s="694"/>
      <c r="V60" s="668"/>
      <c r="W60" s="152"/>
      <c r="X60" s="501">
        <f>K60+L60+M60+N60+O60+P60+Q60+R60+S60+T60+U60+V60</f>
        <v>0</v>
      </c>
      <c r="Y60" s="590" t="e">
        <f>X60/F60*100</f>
        <v>#DIV/0!</v>
      </c>
      <c r="Z60" s="185"/>
      <c r="AA60" s="591">
        <f>(H60-K60)+(H60-L60)+(H60-M60)+(H60-N60)+(H60-O60)+(H60-P60)+(H60-Q60)+(H60-R60)+(H60-S60)+(H60-T60)+(H60-U60)+(H60-V60)</f>
        <v>0</v>
      </c>
    </row>
    <row r="61" spans="1:27" ht="32.25" customHeight="1">
      <c r="A61" s="398"/>
      <c r="B61" s="708"/>
      <c r="C61" s="709"/>
      <c r="D61" s="161"/>
      <c r="E61" s="700"/>
      <c r="F61" s="702"/>
      <c r="G61" s="704"/>
      <c r="H61" s="705"/>
      <c r="I61" s="706"/>
      <c r="J61" s="161"/>
      <c r="K61" s="707"/>
      <c r="L61" s="695"/>
      <c r="M61" s="695"/>
      <c r="N61" s="695"/>
      <c r="O61" s="697"/>
      <c r="P61" s="698"/>
      <c r="Q61" s="695"/>
      <c r="R61" s="695"/>
      <c r="S61" s="695"/>
      <c r="T61" s="695"/>
      <c r="U61" s="695"/>
      <c r="V61" s="692"/>
      <c r="W61" s="152"/>
      <c r="X61" s="711"/>
      <c r="Y61" s="712"/>
      <c r="Z61" s="185"/>
      <c r="AA61" s="596"/>
    </row>
    <row r="62" spans="1:27" ht="30" customHeight="1">
      <c r="A62" s="398"/>
      <c r="B62" s="684" t="s">
        <v>50</v>
      </c>
      <c r="C62" s="631"/>
      <c r="D62" s="161"/>
      <c r="E62" s="687">
        <f>GESTANTE!F11</f>
        <v>0</v>
      </c>
      <c r="F62" s="701">
        <f>GESTANTE!G11</f>
        <v>0</v>
      </c>
      <c r="G62" s="703" t="s">
        <v>179</v>
      </c>
      <c r="H62" s="728">
        <f>F62/12</f>
        <v>0</v>
      </c>
      <c r="I62" s="620" t="s">
        <v>179</v>
      </c>
      <c r="J62" s="161"/>
      <c r="K62" s="682"/>
      <c r="L62" s="694"/>
      <c r="M62" s="694"/>
      <c r="N62" s="694"/>
      <c r="O62" s="696"/>
      <c r="P62" s="666"/>
      <c r="Q62" s="694"/>
      <c r="R62" s="694"/>
      <c r="S62" s="694"/>
      <c r="T62" s="694"/>
      <c r="U62" s="694"/>
      <c r="V62" s="668"/>
      <c r="W62" s="152"/>
      <c r="X62" s="501">
        <f>K62+L62+M62+N62+O62+P62+Q62+R62+S62+T62+U62+V62</f>
        <v>0</v>
      </c>
      <c r="Y62" s="590" t="e">
        <f>X62/F62*100</f>
        <v>#DIV/0!</v>
      </c>
      <c r="Z62" s="185"/>
      <c r="AA62" s="591">
        <f>(H62-K62)+(H62-L62)+(H62-M62)+(H62-N62)+(H62-O62)+(H62-P62)+(H62-Q62)+(H62-R62)+(H62-S62)+(H62-T62)+(H62-U62)+(H62-V62)</f>
        <v>0</v>
      </c>
    </row>
    <row r="63" spans="1:27" ht="30" customHeight="1">
      <c r="A63" s="398"/>
      <c r="B63" s="708"/>
      <c r="C63" s="709"/>
      <c r="D63" s="161"/>
      <c r="E63" s="700"/>
      <c r="F63" s="702"/>
      <c r="G63" s="704"/>
      <c r="H63" s="729"/>
      <c r="I63" s="706"/>
      <c r="J63" s="161"/>
      <c r="K63" s="707"/>
      <c r="L63" s="695"/>
      <c r="M63" s="695"/>
      <c r="N63" s="695"/>
      <c r="O63" s="697"/>
      <c r="P63" s="698"/>
      <c r="Q63" s="695"/>
      <c r="R63" s="695"/>
      <c r="S63" s="695"/>
      <c r="T63" s="695"/>
      <c r="U63" s="695"/>
      <c r="V63" s="692"/>
      <c r="W63" s="152"/>
      <c r="X63" s="693"/>
      <c r="Y63" s="595"/>
      <c r="Z63" s="185"/>
      <c r="AA63" s="596"/>
    </row>
    <row r="64" spans="1:27" ht="42.75" customHeight="1">
      <c r="A64" s="398"/>
      <c r="B64" s="684" t="s">
        <v>51</v>
      </c>
      <c r="C64" s="631"/>
      <c r="D64" s="161"/>
      <c r="E64" s="687">
        <f>GESTANTE!F11</f>
        <v>0</v>
      </c>
      <c r="F64" s="724">
        <f>GESTANTE!I11+GESTANTE!I12</f>
        <v>0</v>
      </c>
      <c r="G64" s="690" t="s">
        <v>28</v>
      </c>
      <c r="H64" s="726">
        <f>F64/12</f>
        <v>0</v>
      </c>
      <c r="I64" s="680" t="s">
        <v>28</v>
      </c>
      <c r="J64" s="161"/>
      <c r="K64" s="682"/>
      <c r="L64" s="676"/>
      <c r="M64" s="666"/>
      <c r="N64" s="694"/>
      <c r="O64" s="694"/>
      <c r="P64" s="676"/>
      <c r="Q64" s="666"/>
      <c r="R64" s="666"/>
      <c r="S64" s="694"/>
      <c r="T64" s="694"/>
      <c r="U64" s="676"/>
      <c r="V64" s="668"/>
      <c r="W64" s="152"/>
      <c r="X64" s="722">
        <f>K64+L64+M64+N64+O64+P64+Q64+R64+S64+T64+U64+V64</f>
        <v>0</v>
      </c>
      <c r="Y64" s="590" t="e">
        <f>X64/F64*100</f>
        <v>#DIV/0!</v>
      </c>
      <c r="Z64" s="185"/>
      <c r="AA64" s="591">
        <f>(H64-K64)+(H64-L64)+(H64-M64)+(H64-N64)+(H64-O64)+(H64-P64)+(H64-Q64)+(H64-R64)+(H64-S64)+(H64-T64)+(H64-U64)+(H64-V64)</f>
        <v>0</v>
      </c>
    </row>
    <row r="65" spans="1:27" ht="33" customHeight="1">
      <c r="A65" s="398"/>
      <c r="B65" s="685"/>
      <c r="C65" s="686"/>
      <c r="D65" s="161"/>
      <c r="E65" s="688"/>
      <c r="F65" s="725"/>
      <c r="G65" s="691"/>
      <c r="H65" s="727"/>
      <c r="I65" s="681"/>
      <c r="J65" s="161"/>
      <c r="K65" s="683"/>
      <c r="L65" s="677"/>
      <c r="M65" s="667"/>
      <c r="N65" s="723"/>
      <c r="O65" s="723"/>
      <c r="P65" s="677"/>
      <c r="Q65" s="667"/>
      <c r="R65" s="667"/>
      <c r="S65" s="723"/>
      <c r="T65" s="723"/>
      <c r="U65" s="677"/>
      <c r="V65" s="669"/>
      <c r="W65" s="152"/>
      <c r="X65" s="689"/>
      <c r="Y65" s="673"/>
      <c r="Z65" s="185"/>
      <c r="AA65" s="665"/>
    </row>
    <row r="66" spans="2:27" ht="15" customHeight="1" thickBot="1">
      <c r="B66" s="399"/>
      <c r="C66" s="400"/>
      <c r="D66" s="401"/>
      <c r="E66" s="406"/>
      <c r="F66" s="391"/>
      <c r="G66" s="400"/>
      <c r="H66" s="391"/>
      <c r="I66" s="400"/>
      <c r="J66" s="401"/>
      <c r="K66" s="399"/>
      <c r="L66" s="391"/>
      <c r="M66" s="391"/>
      <c r="N66" s="391"/>
      <c r="O66" s="391"/>
      <c r="P66" s="399"/>
      <c r="Q66" s="391"/>
      <c r="R66" s="391"/>
      <c r="S66" s="391"/>
      <c r="T66" s="391"/>
      <c r="U66" s="391"/>
      <c r="V66" s="391"/>
      <c r="W66" s="392"/>
      <c r="X66" s="391"/>
      <c r="Y66" s="402"/>
      <c r="Z66" s="405"/>
      <c r="AA66" s="406"/>
    </row>
    <row r="67" spans="2:28" ht="24.75" customHeight="1">
      <c r="B67" s="717" t="s">
        <v>366</v>
      </c>
      <c r="C67" s="718"/>
      <c r="D67" s="718"/>
      <c r="E67" s="718"/>
      <c r="F67" s="718"/>
      <c r="G67" s="718"/>
      <c r="H67" s="718"/>
      <c r="I67" s="718"/>
      <c r="J67" s="718"/>
      <c r="K67" s="718"/>
      <c r="L67" s="718"/>
      <c r="M67" s="718"/>
      <c r="N67" s="718"/>
      <c r="O67" s="718"/>
      <c r="P67" s="718"/>
      <c r="Q67" s="718"/>
      <c r="R67" s="718"/>
      <c r="S67" s="718"/>
      <c r="T67" s="718"/>
      <c r="U67" s="718"/>
      <c r="V67" s="718"/>
      <c r="W67" s="718"/>
      <c r="X67" s="718"/>
      <c r="Y67" s="718"/>
      <c r="Z67" s="718"/>
      <c r="AA67" s="719"/>
      <c r="AB67" s="369"/>
    </row>
    <row r="68" spans="2:27" ht="15" customHeight="1" thickBot="1">
      <c r="B68" s="403"/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4"/>
      <c r="X68" s="403"/>
      <c r="Y68" s="403"/>
      <c r="Z68" s="403"/>
      <c r="AA68" s="403"/>
    </row>
    <row r="69" spans="1:27" ht="30" customHeight="1">
      <c r="A69" s="398"/>
      <c r="B69" s="708" t="s">
        <v>52</v>
      </c>
      <c r="C69" s="709"/>
      <c r="D69" s="161"/>
      <c r="E69" s="687">
        <f>IDOSO!F9</f>
        <v>0</v>
      </c>
      <c r="F69" s="678">
        <f>IDOSO!G9</f>
        <v>0</v>
      </c>
      <c r="G69" s="690" t="s">
        <v>53</v>
      </c>
      <c r="H69" s="678">
        <f>F69/12</f>
        <v>0</v>
      </c>
      <c r="I69" s="680" t="s">
        <v>53</v>
      </c>
      <c r="J69" s="161"/>
      <c r="K69" s="720"/>
      <c r="L69" s="715"/>
      <c r="M69" s="715"/>
      <c r="N69" s="715"/>
      <c r="O69" s="715"/>
      <c r="P69" s="715"/>
      <c r="Q69" s="715"/>
      <c r="R69" s="715"/>
      <c r="S69" s="715"/>
      <c r="T69" s="715"/>
      <c r="U69" s="715"/>
      <c r="V69" s="710"/>
      <c r="W69" s="152"/>
      <c r="X69" s="670">
        <f>K69+L69+M69+N69+O69+P69+Q69+R69+S69+T69+U69+V69</f>
        <v>0</v>
      </c>
      <c r="Y69" s="672" t="e">
        <f>X69/F69*100</f>
        <v>#DIV/0!</v>
      </c>
      <c r="Z69" s="185"/>
      <c r="AA69" s="713">
        <f>(H69-K69)+(H69-L69)+(H69-M69)+(H69-N69)+(H69-O69)+(H69-P69)+(H69-Q69)+(H69-R69)+(H69-S69)+(H69-T69)+(H69-U69)+(H69-V69)</f>
        <v>0</v>
      </c>
    </row>
    <row r="70" spans="1:27" ht="31.5" customHeight="1">
      <c r="A70" s="398"/>
      <c r="B70" s="699"/>
      <c r="C70" s="629"/>
      <c r="D70" s="161"/>
      <c r="E70" s="700"/>
      <c r="F70" s="702"/>
      <c r="G70" s="704"/>
      <c r="H70" s="705"/>
      <c r="I70" s="706"/>
      <c r="J70" s="161"/>
      <c r="K70" s="721"/>
      <c r="L70" s="716"/>
      <c r="M70" s="716"/>
      <c r="N70" s="716"/>
      <c r="O70" s="716"/>
      <c r="P70" s="716"/>
      <c r="Q70" s="716"/>
      <c r="R70" s="716"/>
      <c r="S70" s="716"/>
      <c r="T70" s="716"/>
      <c r="U70" s="716"/>
      <c r="V70" s="692"/>
      <c r="W70" s="152"/>
      <c r="X70" s="711"/>
      <c r="Y70" s="712"/>
      <c r="Z70" s="185"/>
      <c r="AA70" s="714"/>
    </row>
    <row r="71" spans="1:27" ht="30" customHeight="1">
      <c r="A71" s="398"/>
      <c r="B71" s="684" t="s">
        <v>54</v>
      </c>
      <c r="C71" s="631"/>
      <c r="D71" s="161"/>
      <c r="E71" s="687">
        <f>IDOSO!F9</f>
        <v>0</v>
      </c>
      <c r="F71" s="678">
        <f>IDOSO!I9</f>
        <v>0</v>
      </c>
      <c r="G71" s="690" t="s">
        <v>28</v>
      </c>
      <c r="H71" s="678">
        <f>F71/11</f>
        <v>0</v>
      </c>
      <c r="I71" s="680" t="s">
        <v>28</v>
      </c>
      <c r="J71" s="161"/>
      <c r="K71" s="682"/>
      <c r="L71" s="694"/>
      <c r="M71" s="694"/>
      <c r="N71" s="694"/>
      <c r="O71" s="694"/>
      <c r="P71" s="694"/>
      <c r="Q71" s="694"/>
      <c r="R71" s="694"/>
      <c r="S71" s="694"/>
      <c r="T71" s="694"/>
      <c r="U71" s="694"/>
      <c r="V71" s="668"/>
      <c r="W71" s="152"/>
      <c r="X71" s="501">
        <f>K71+L71+M71+N71+O71+P71+Q71+R71+S71+T71+U71+V71</f>
        <v>0</v>
      </c>
      <c r="Y71" s="590" t="e">
        <f>X71/F71*100</f>
        <v>#DIV/0!</v>
      </c>
      <c r="Z71" s="185"/>
      <c r="AA71" s="591">
        <f>(H71-K71)+(H71-L71)+(H71-M71)+(H71-N71)+(H71-O71)+(H71-P71)+(H71-Q71)+(H71-R71)+(H71-S71)+(H71-T71)+(H71-U71)-V71</f>
        <v>0</v>
      </c>
    </row>
    <row r="72" spans="1:27" ht="30" customHeight="1">
      <c r="A72" s="398"/>
      <c r="B72" s="708"/>
      <c r="C72" s="709"/>
      <c r="D72" s="161"/>
      <c r="E72" s="700"/>
      <c r="F72" s="702"/>
      <c r="G72" s="704"/>
      <c r="H72" s="705"/>
      <c r="I72" s="706"/>
      <c r="J72" s="161"/>
      <c r="K72" s="707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2"/>
      <c r="W72" s="152"/>
      <c r="X72" s="693"/>
      <c r="Y72" s="595"/>
      <c r="Z72" s="185"/>
      <c r="AA72" s="596"/>
    </row>
    <row r="73" spans="1:27" ht="30" customHeight="1">
      <c r="A73" s="398"/>
      <c r="B73" s="684" t="s">
        <v>55</v>
      </c>
      <c r="C73" s="631"/>
      <c r="D73" s="161"/>
      <c r="E73" s="687">
        <f>IDOSO!F10</f>
        <v>0</v>
      </c>
      <c r="F73" s="701">
        <f>IDOSO!G10</f>
        <v>0</v>
      </c>
      <c r="G73" s="703" t="s">
        <v>158</v>
      </c>
      <c r="H73" s="701">
        <f>F73/12</f>
        <v>0</v>
      </c>
      <c r="I73" s="620" t="s">
        <v>158</v>
      </c>
      <c r="J73" s="161"/>
      <c r="K73" s="682"/>
      <c r="L73" s="694"/>
      <c r="M73" s="694"/>
      <c r="N73" s="694"/>
      <c r="O73" s="696"/>
      <c r="P73" s="666"/>
      <c r="Q73" s="694"/>
      <c r="R73" s="694"/>
      <c r="S73" s="694"/>
      <c r="T73" s="694"/>
      <c r="U73" s="694"/>
      <c r="V73" s="668"/>
      <c r="W73" s="152"/>
      <c r="X73" s="501">
        <f>K73+L73+M73+N73+O73+P73+Q73+R73+S73+T73+U73+V73</f>
        <v>0</v>
      </c>
      <c r="Y73" s="590" t="e">
        <f>X73/F73*100</f>
        <v>#DIV/0!</v>
      </c>
      <c r="Z73" s="185"/>
      <c r="AA73" s="591">
        <f>(H73-K73)+(H73-L73)+(H73-M73)+(H73-N73)+(H73-O73)+(H73-P73)+(H73-Q73)+(H73-R73)+(H73-S73)+(H73-T73)+(H73-U73)+(H73-V73)</f>
        <v>0</v>
      </c>
    </row>
    <row r="74" spans="1:27" ht="29.25" customHeight="1">
      <c r="A74" s="398"/>
      <c r="B74" s="699"/>
      <c r="C74" s="629"/>
      <c r="D74" s="161"/>
      <c r="E74" s="700"/>
      <c r="F74" s="702"/>
      <c r="G74" s="704"/>
      <c r="H74" s="705"/>
      <c r="I74" s="706"/>
      <c r="J74" s="161"/>
      <c r="K74" s="707"/>
      <c r="L74" s="695"/>
      <c r="M74" s="695"/>
      <c r="N74" s="695"/>
      <c r="O74" s="697"/>
      <c r="P74" s="698"/>
      <c r="Q74" s="695"/>
      <c r="R74" s="695"/>
      <c r="S74" s="695"/>
      <c r="T74" s="695"/>
      <c r="U74" s="695"/>
      <c r="V74" s="692"/>
      <c r="W74" s="152"/>
      <c r="X74" s="693"/>
      <c r="Y74" s="595"/>
      <c r="Z74" s="185"/>
      <c r="AA74" s="596"/>
    </row>
    <row r="75" spans="1:27" ht="30" customHeight="1">
      <c r="A75" s="398"/>
      <c r="B75" s="684" t="s">
        <v>56</v>
      </c>
      <c r="C75" s="631"/>
      <c r="D75" s="161"/>
      <c r="E75" s="687">
        <f>IDOSO!F10</f>
        <v>0</v>
      </c>
      <c r="F75" s="678">
        <f>IDOSO!I10+IDOSO!I11</f>
        <v>0</v>
      </c>
      <c r="G75" s="690" t="s">
        <v>28</v>
      </c>
      <c r="H75" s="678">
        <f>F75/12</f>
        <v>0</v>
      </c>
      <c r="I75" s="680" t="s">
        <v>28</v>
      </c>
      <c r="J75" s="161"/>
      <c r="K75" s="682"/>
      <c r="L75" s="676"/>
      <c r="M75" s="674"/>
      <c r="N75" s="674"/>
      <c r="O75" s="666"/>
      <c r="P75" s="676"/>
      <c r="Q75" s="674"/>
      <c r="R75" s="674"/>
      <c r="S75" s="666"/>
      <c r="T75" s="676"/>
      <c r="U75" s="666"/>
      <c r="V75" s="668"/>
      <c r="W75" s="152"/>
      <c r="X75" s="670">
        <f>K75+L75+M75+N75+O75+P75+Q75+R75+S75+T75+U75+V75</f>
        <v>0</v>
      </c>
      <c r="Y75" s="672" t="e">
        <f>X75/F75*100</f>
        <v>#DIV/0!</v>
      </c>
      <c r="Z75" s="185"/>
      <c r="AA75" s="591">
        <f>(H75-K75)+(H75-L75)+(H75-M75)+(H75-N75)+(H75-O75)+(H75-P75)+(H75-Q75)+(H75-R75)+(H75-S75)+(H75-T75)+(H75-U75)+(H75-V75)</f>
        <v>0</v>
      </c>
    </row>
    <row r="76" spans="1:27" ht="29.25" customHeight="1">
      <c r="A76" s="398"/>
      <c r="B76" s="685"/>
      <c r="C76" s="686"/>
      <c r="D76" s="161"/>
      <c r="E76" s="688"/>
      <c r="F76" s="689"/>
      <c r="G76" s="691"/>
      <c r="H76" s="679"/>
      <c r="I76" s="681"/>
      <c r="J76" s="161"/>
      <c r="K76" s="683"/>
      <c r="L76" s="677"/>
      <c r="M76" s="675"/>
      <c r="N76" s="675"/>
      <c r="O76" s="667"/>
      <c r="P76" s="677"/>
      <c r="Q76" s="675"/>
      <c r="R76" s="675"/>
      <c r="S76" s="667"/>
      <c r="T76" s="677"/>
      <c r="U76" s="667"/>
      <c r="V76" s="669"/>
      <c r="W76" s="152"/>
      <c r="X76" s="671"/>
      <c r="Y76" s="673"/>
      <c r="Z76" s="185"/>
      <c r="AA76" s="665"/>
    </row>
    <row r="77" spans="5:26" ht="12.75" customHeight="1">
      <c r="E77" s="412"/>
      <c r="Z77" s="398"/>
    </row>
    <row r="78" ht="12.75" customHeight="1">
      <c r="Z78" s="398"/>
    </row>
    <row r="79" ht="12.75" customHeight="1">
      <c r="Z79" s="398"/>
    </row>
    <row r="80" ht="12.75" customHeight="1">
      <c r="Z80" s="398"/>
    </row>
    <row r="81" ht="12.75" customHeight="1">
      <c r="Z81" s="398"/>
    </row>
    <row r="82" ht="12.75" customHeight="1">
      <c r="Z82" s="398"/>
    </row>
    <row r="83" ht="12.75" customHeight="1">
      <c r="Z83" s="398"/>
    </row>
    <row r="84" ht="12.75" customHeight="1">
      <c r="Z84" s="398"/>
    </row>
    <row r="85" ht="12.75" customHeight="1">
      <c r="Z85" s="398"/>
    </row>
    <row r="86" ht="12.75" customHeight="1">
      <c r="Z86" s="398"/>
    </row>
    <row r="87" ht="12.75" customHeight="1">
      <c r="Z87" s="398"/>
    </row>
    <row r="88" ht="12.75" customHeight="1">
      <c r="Z88" s="398"/>
    </row>
    <row r="89" ht="12.75" customHeight="1">
      <c r="Z89" s="398"/>
    </row>
    <row r="90" ht="12.75" customHeight="1">
      <c r="Z90" s="398"/>
    </row>
    <row r="91" ht="12.75" customHeight="1">
      <c r="Z91" s="398"/>
    </row>
    <row r="92" ht="12.75" customHeight="1">
      <c r="Z92" s="398"/>
    </row>
    <row r="93" ht="12.75" customHeight="1">
      <c r="Z93" s="398"/>
    </row>
    <row r="94" ht="12.75" customHeight="1">
      <c r="Z94" s="398"/>
    </row>
    <row r="95" ht="12.75" customHeight="1">
      <c r="Z95" s="398"/>
    </row>
    <row r="96" ht="12.75" customHeight="1">
      <c r="Z96" s="398"/>
    </row>
    <row r="97" ht="12.75" customHeight="1">
      <c r="Z97" s="398"/>
    </row>
    <row r="98" ht="12.75" customHeight="1">
      <c r="Z98" s="398"/>
    </row>
    <row r="99" ht="12.75" customHeight="1">
      <c r="Z99" s="398"/>
    </row>
    <row r="100" ht="12.75" customHeight="1">
      <c r="Z100" s="398"/>
    </row>
    <row r="101" ht="12.75" customHeight="1">
      <c r="Z101" s="398"/>
    </row>
    <row r="102" ht="12.75" customHeight="1">
      <c r="Z102" s="398"/>
    </row>
    <row r="103" ht="12.75" customHeight="1">
      <c r="Z103" s="398"/>
    </row>
    <row r="104" ht="12.75" customHeight="1">
      <c r="Z104" s="398"/>
    </row>
    <row r="105" ht="12.75" customHeight="1">
      <c r="Z105" s="398"/>
    </row>
    <row r="106" ht="12.75" customHeight="1">
      <c r="Z106" s="398"/>
    </row>
    <row r="107" ht="12.75" customHeight="1">
      <c r="Z107" s="398"/>
    </row>
    <row r="108" ht="12.75" customHeight="1">
      <c r="Z108" s="398"/>
    </row>
    <row r="109" ht="12.75" customHeight="1">
      <c r="Z109" s="398"/>
    </row>
    <row r="110" ht="12.75" customHeight="1">
      <c r="Z110" s="398"/>
    </row>
    <row r="111" ht="12.75" customHeight="1">
      <c r="Z111" s="398"/>
    </row>
    <row r="112" ht="12.75" customHeight="1">
      <c r="Z112" s="398"/>
    </row>
    <row r="113" ht="12.75" customHeight="1">
      <c r="Z113" s="398"/>
    </row>
    <row r="114" ht="12.75" customHeight="1">
      <c r="Z114" s="398"/>
    </row>
    <row r="115" ht="12.75" customHeight="1">
      <c r="Z115" s="398"/>
    </row>
    <row r="116" ht="12.75" customHeight="1">
      <c r="Z116" s="398"/>
    </row>
    <row r="117" ht="12.75" customHeight="1">
      <c r="Z117" s="398"/>
    </row>
    <row r="118" ht="12.75">
      <c r="Z118" s="398"/>
    </row>
    <row r="119" ht="12.75">
      <c r="Z119" s="398"/>
    </row>
    <row r="120" ht="12.75">
      <c r="Z120" s="398"/>
    </row>
    <row r="121" ht="12.75">
      <c r="Z121" s="398"/>
    </row>
    <row r="124" ht="12" customHeight="1"/>
    <row r="125" spans="7:22" ht="12.75">
      <c r="G125" s="368" t="s">
        <v>57</v>
      </c>
      <c r="I125" s="368" t="s">
        <v>58</v>
      </c>
      <c r="K125" s="368">
        <f>H10</f>
        <v>0</v>
      </c>
      <c r="L125" s="368">
        <f>K125*2</f>
        <v>0</v>
      </c>
      <c r="M125" s="368">
        <f>K125*3</f>
        <v>0</v>
      </c>
      <c r="N125" s="368">
        <f>K125*4</f>
        <v>0</v>
      </c>
      <c r="O125" s="368">
        <f>K125*5</f>
        <v>0</v>
      </c>
      <c r="P125" s="368">
        <f>K125*6</f>
        <v>0</v>
      </c>
      <c r="Q125" s="368">
        <f>K125*7</f>
        <v>0</v>
      </c>
      <c r="R125" s="368">
        <f>K125*8</f>
        <v>0</v>
      </c>
      <c r="S125" s="368">
        <f>K125*9</f>
        <v>0</v>
      </c>
      <c r="T125" s="368">
        <f>K125*10</f>
        <v>0</v>
      </c>
      <c r="U125" s="368">
        <f>K125*11</f>
        <v>0</v>
      </c>
      <c r="V125" s="409">
        <f>K125*12</f>
        <v>0</v>
      </c>
    </row>
    <row r="126" spans="9:22" ht="12.75">
      <c r="I126" s="368" t="s">
        <v>59</v>
      </c>
      <c r="K126" s="368">
        <f>K10</f>
        <v>0</v>
      </c>
      <c r="L126" s="368">
        <f>K10+L10</f>
        <v>0</v>
      </c>
      <c r="M126" s="368">
        <f>K10+L10+M10</f>
        <v>0</v>
      </c>
      <c r="N126" s="368">
        <f>K10+L10+M10+N10</f>
        <v>0</v>
      </c>
      <c r="O126" s="368">
        <f>K10+L10+M10+N10+O10</f>
        <v>0</v>
      </c>
      <c r="P126" s="368">
        <f>K10+L10+M10+N10+O10+P10</f>
        <v>0</v>
      </c>
      <c r="Q126" s="368">
        <f>K10+L10+M10+N10+O10+P10+Q10</f>
        <v>0</v>
      </c>
      <c r="R126" s="368">
        <f>K10+L10+M10+N10+O10+P10+Q10+R10</f>
        <v>0</v>
      </c>
      <c r="S126" s="368">
        <f>K10+L10+M10+N10+O10+P10+Q10+R10+S10</f>
        <v>0</v>
      </c>
      <c r="T126" s="368">
        <f>K10+L10+M10+N10+O10+P10+Q10+R10+S10+T10</f>
        <v>0</v>
      </c>
      <c r="U126" s="368">
        <f>K10+L10+M10+N10+O10+P10+Q10+R10+S10+T10+U10</f>
        <v>0</v>
      </c>
      <c r="V126" s="368">
        <f>K10+L10+M10+N10+O10+P10+Q10+R10+S10+T10+U10+V10</f>
        <v>0</v>
      </c>
    </row>
    <row r="128" spans="7:22" ht="12.75">
      <c r="G128" s="368" t="s">
        <v>60</v>
      </c>
      <c r="I128" s="368" t="s">
        <v>58</v>
      </c>
      <c r="K128" s="409">
        <f>H12</f>
        <v>0</v>
      </c>
      <c r="L128" s="409">
        <f>K128*2</f>
        <v>0</v>
      </c>
      <c r="M128" s="409">
        <f>K128*3</f>
        <v>0</v>
      </c>
      <c r="N128" s="409">
        <f>K128*4</f>
        <v>0</v>
      </c>
      <c r="O128" s="409">
        <f>K128*5</f>
        <v>0</v>
      </c>
      <c r="P128" s="409">
        <f>K128*6</f>
        <v>0</v>
      </c>
      <c r="Q128" s="409">
        <f>K128*7</f>
        <v>0</v>
      </c>
      <c r="R128" s="409">
        <f>K128*8</f>
        <v>0</v>
      </c>
      <c r="S128" s="409">
        <f>K128*9</f>
        <v>0</v>
      </c>
      <c r="T128" s="409">
        <f>K128*10</f>
        <v>0</v>
      </c>
      <c r="U128" s="409">
        <f>K128*11</f>
        <v>0</v>
      </c>
      <c r="V128" s="408">
        <f>K128*12</f>
        <v>0</v>
      </c>
    </row>
    <row r="129" spans="9:22" ht="12.75">
      <c r="I129" s="368" t="s">
        <v>59</v>
      </c>
      <c r="K129" s="368">
        <f>K12</f>
        <v>0</v>
      </c>
      <c r="L129" s="368">
        <f>K12+L12</f>
        <v>0</v>
      </c>
      <c r="M129" s="368">
        <f>K12+L12+M12</f>
        <v>0</v>
      </c>
      <c r="N129" s="368">
        <f>K12+L12+M12+N12</f>
        <v>0</v>
      </c>
      <c r="O129" s="368">
        <f>K12+L12+M12+N12+O12</f>
        <v>0</v>
      </c>
      <c r="P129" s="368">
        <f>K12+L12+M12+N12+O12+P12</f>
        <v>0</v>
      </c>
      <c r="Q129" s="368">
        <f>K12+L12+M12+N12+O12+P12+Q12</f>
        <v>0</v>
      </c>
      <c r="R129" s="368">
        <f>K12+L12+M12+N12+O12+P12+Q12+R12</f>
        <v>0</v>
      </c>
      <c r="S129" s="368">
        <f>K12+L12+M12+N12+O12+P12+Q12+R12+S12</f>
        <v>0</v>
      </c>
      <c r="T129" s="368">
        <f>K12+L12+M12+N12+O12+P12+Q12+R12+S12+T12</f>
        <v>0</v>
      </c>
      <c r="U129" s="368">
        <f>K12+L12+M12+N12+O12+P12+Q12+R12+S12+T12+U12</f>
        <v>0</v>
      </c>
      <c r="V129" s="368">
        <f>K12+L12+M12+N12+O12+P12+Q12+R12+S12+T12+U12+V12</f>
        <v>0</v>
      </c>
    </row>
    <row r="130" spans="11:22" ht="12.75">
      <c r="K130" s="409"/>
      <c r="L130" s="409"/>
      <c r="M130" s="409"/>
      <c r="N130" s="409"/>
      <c r="O130" s="409"/>
      <c r="P130" s="409"/>
      <c r="Q130" s="409"/>
      <c r="R130" s="409"/>
      <c r="S130" s="409"/>
      <c r="T130" s="409"/>
      <c r="U130" s="409"/>
      <c r="V130" s="408"/>
    </row>
    <row r="131" spans="7:22" ht="12.75">
      <c r="G131" s="368" t="s">
        <v>61</v>
      </c>
      <c r="I131" s="368" t="s">
        <v>58</v>
      </c>
      <c r="K131" s="409">
        <f>H17</f>
        <v>0</v>
      </c>
      <c r="L131" s="409">
        <f>K131*2</f>
        <v>0</v>
      </c>
      <c r="M131" s="409">
        <f>K131*3</f>
        <v>0</v>
      </c>
      <c r="N131" s="409">
        <f>K131*4</f>
        <v>0</v>
      </c>
      <c r="O131" s="409">
        <f>K131*5</f>
        <v>0</v>
      </c>
      <c r="P131" s="409">
        <f>K131*6</f>
        <v>0</v>
      </c>
      <c r="Q131" s="409">
        <f>K131*7</f>
        <v>0</v>
      </c>
      <c r="R131" s="409">
        <f>K131*8</f>
        <v>0</v>
      </c>
      <c r="S131" s="409">
        <f>K131*9</f>
        <v>0</v>
      </c>
      <c r="T131" s="409">
        <f>K131*10</f>
        <v>0</v>
      </c>
      <c r="U131" s="409">
        <f>K131*11</f>
        <v>0</v>
      </c>
      <c r="V131" s="409">
        <f>U131</f>
        <v>0</v>
      </c>
    </row>
    <row r="132" spans="9:22" ht="12.75">
      <c r="I132" s="368" t="s">
        <v>59</v>
      </c>
      <c r="K132" s="409">
        <f>K17</f>
        <v>0</v>
      </c>
      <c r="L132" s="409">
        <f>K17+L17</f>
        <v>0</v>
      </c>
      <c r="M132" s="409">
        <f>K17+L17+M17</f>
        <v>0</v>
      </c>
      <c r="N132" s="409">
        <f>K17+L17+M17+N17</f>
        <v>0</v>
      </c>
      <c r="O132" s="409">
        <f>K17+L17+M17+N17+O17</f>
        <v>0</v>
      </c>
      <c r="P132" s="409">
        <f>K17+L17+M17+N17+O17+P17</f>
        <v>0</v>
      </c>
      <c r="Q132" s="409">
        <f>K17+L17+M17+N17+O17+P17+Q17</f>
        <v>0</v>
      </c>
      <c r="R132" s="409">
        <f>K17+L17+M17+N17+O17+P17+Q17+R17</f>
        <v>0</v>
      </c>
      <c r="S132" s="409">
        <f>K17+L17+M17+N17+O17+P17+Q17+R17+S17</f>
        <v>0</v>
      </c>
      <c r="T132" s="409">
        <f>K17+L17+M17+N17+O17+P17+Q17+R17+S17+T17</f>
        <v>0</v>
      </c>
      <c r="U132" s="409">
        <f>K17+L17+M17+N17+O17+P17+Q17+R17+S17+T17+U17</f>
        <v>0</v>
      </c>
      <c r="V132" s="408">
        <f>K17+L17+M17+N17+O17+P17+Q17+R17+S17+T17+U17+V17</f>
        <v>0</v>
      </c>
    </row>
    <row r="134" spans="7:22" ht="14.25" customHeight="1">
      <c r="G134" s="368" t="s">
        <v>62</v>
      </c>
      <c r="I134" s="368" t="s">
        <v>58</v>
      </c>
      <c r="K134" s="409">
        <f>H19</f>
        <v>0</v>
      </c>
      <c r="L134" s="409">
        <f>K134*2</f>
        <v>0</v>
      </c>
      <c r="M134" s="409">
        <f>K134*3</f>
        <v>0</v>
      </c>
      <c r="N134" s="409">
        <f>K134*4</f>
        <v>0</v>
      </c>
      <c r="O134" s="409">
        <f>K134*5</f>
        <v>0</v>
      </c>
      <c r="P134" s="409">
        <f>K134*6</f>
        <v>0</v>
      </c>
      <c r="Q134" s="409">
        <f>K134*7</f>
        <v>0</v>
      </c>
      <c r="R134" s="409">
        <f>K134*8</f>
        <v>0</v>
      </c>
      <c r="S134" s="409">
        <f>K134*9</f>
        <v>0</v>
      </c>
      <c r="T134" s="409">
        <f>K134*10</f>
        <v>0</v>
      </c>
      <c r="U134" s="409">
        <f>K134*11</f>
        <v>0</v>
      </c>
      <c r="V134" s="408">
        <f>K134*12</f>
        <v>0</v>
      </c>
    </row>
    <row r="135" spans="9:22" ht="16.5" customHeight="1">
      <c r="I135" s="368" t="s">
        <v>59</v>
      </c>
      <c r="K135" s="368">
        <f>K19</f>
        <v>0</v>
      </c>
      <c r="L135" s="368">
        <f>K19+L19</f>
        <v>0</v>
      </c>
      <c r="M135" s="368">
        <f>K19+L19+M19</f>
        <v>0</v>
      </c>
      <c r="N135" s="368">
        <f>K19+L19+M19+N19</f>
        <v>0</v>
      </c>
      <c r="O135" s="368">
        <f>K19+L19+M19+N19+O19</f>
        <v>0</v>
      </c>
      <c r="P135" s="368">
        <f>K19+L19+M19+N19+O19+P19</f>
        <v>0</v>
      </c>
      <c r="Q135" s="368">
        <f>K19+L19+M19+N19+O19+P19+Q19</f>
        <v>0</v>
      </c>
      <c r="R135" s="368">
        <f>K19+L19+M19+N19+O19+P19+Q19+R19</f>
        <v>0</v>
      </c>
      <c r="S135" s="368">
        <f>K19+L19+M19+N19+O19+P19+Q19+R19+S19</f>
        <v>0</v>
      </c>
      <c r="T135" s="368">
        <f>K19+L19+M19+N19+O19+P19+Q19+R19+S19+T19</f>
        <v>0</v>
      </c>
      <c r="U135" s="368">
        <f>K19+L19+M19+N19+O19+P19+Q19+R19+S19+T19+U19</f>
        <v>0</v>
      </c>
      <c r="V135" s="368">
        <f>K19+L19+M19+N19+O19+P19+Q19+R19+S19+T19+U19+V19</f>
        <v>0</v>
      </c>
    </row>
    <row r="136" spans="11:22" ht="12.75">
      <c r="K136" s="409"/>
      <c r="L136" s="409"/>
      <c r="M136" s="409"/>
      <c r="N136" s="409"/>
      <c r="O136" s="409"/>
      <c r="P136" s="409"/>
      <c r="Q136" s="409"/>
      <c r="R136" s="409"/>
      <c r="S136" s="409"/>
      <c r="T136" s="409"/>
      <c r="U136" s="409"/>
      <c r="V136" s="408"/>
    </row>
    <row r="137" spans="7:22" ht="12.75">
      <c r="G137" s="368" t="s">
        <v>63</v>
      </c>
      <c r="I137" s="368" t="s">
        <v>58</v>
      </c>
      <c r="K137" s="409">
        <f>H24</f>
        <v>0</v>
      </c>
      <c r="L137" s="409">
        <f>K137*2</f>
        <v>0</v>
      </c>
      <c r="M137" s="409">
        <f>K137*3</f>
        <v>0</v>
      </c>
      <c r="N137" s="409">
        <f>K137*4</f>
        <v>0</v>
      </c>
      <c r="O137" s="409">
        <f>K137*5</f>
        <v>0</v>
      </c>
      <c r="P137" s="409">
        <f>K137*6</f>
        <v>0</v>
      </c>
      <c r="Q137" s="409">
        <f>K137*7</f>
        <v>0</v>
      </c>
      <c r="R137" s="409">
        <f>K137*8</f>
        <v>0</v>
      </c>
      <c r="S137" s="409">
        <f>K137*9</f>
        <v>0</v>
      </c>
      <c r="T137" s="409">
        <f>K137*10</f>
        <v>0</v>
      </c>
      <c r="U137" s="409">
        <f>K137*11</f>
        <v>0</v>
      </c>
      <c r="V137" s="409">
        <f>K137*12</f>
        <v>0</v>
      </c>
    </row>
    <row r="138" spans="9:22" ht="12.75">
      <c r="I138" s="368" t="s">
        <v>59</v>
      </c>
      <c r="K138" s="409">
        <f>K24</f>
        <v>0</v>
      </c>
      <c r="L138" s="409">
        <f>K24+L24</f>
        <v>0</v>
      </c>
      <c r="M138" s="409">
        <f>K24+L24+M24</f>
        <v>0</v>
      </c>
      <c r="N138" s="409">
        <f>K24+L24+M24+N24</f>
        <v>0</v>
      </c>
      <c r="O138" s="409">
        <f>K24+L24+M24+N24+O24</f>
        <v>0</v>
      </c>
      <c r="P138" s="409">
        <f>K24+L24+M24+N24+O24+P24</f>
        <v>0</v>
      </c>
      <c r="Q138" s="409">
        <f>K24+L24+M24+N24+O24+P24+Q24</f>
        <v>0</v>
      </c>
      <c r="R138" s="409">
        <f>K24+L24+M24+N24+O24+P24+Q24+R24</f>
        <v>0</v>
      </c>
      <c r="S138" s="409">
        <f>K24+L24+M24+N24+O24+P24+Q24+R24+S24</f>
        <v>0</v>
      </c>
      <c r="T138" s="409">
        <f>K24+L24+M24+N24+O24+P24+Q24+R24+S24+T24</f>
        <v>0</v>
      </c>
      <c r="U138" s="409">
        <f>K24+L24+M24+N24+O24+P24+Q24+R24+S24+T24+U24</f>
        <v>0</v>
      </c>
      <c r="V138" s="408">
        <f>K24+L24+M24+N24+O24+P24+Q24+R24+S24+T24+U24+V24</f>
        <v>0</v>
      </c>
    </row>
    <row r="140" spans="7:22" ht="12.75">
      <c r="G140" s="368" t="s">
        <v>64</v>
      </c>
      <c r="I140" s="368" t="s">
        <v>58</v>
      </c>
      <c r="K140" s="409">
        <f>H26</f>
        <v>0</v>
      </c>
      <c r="L140" s="409">
        <f>K140*2</f>
        <v>0</v>
      </c>
      <c r="M140" s="409">
        <f>K140*3</f>
        <v>0</v>
      </c>
      <c r="N140" s="409">
        <f>K140*4</f>
        <v>0</v>
      </c>
      <c r="O140" s="409">
        <f>K140*5</f>
        <v>0</v>
      </c>
      <c r="P140" s="409">
        <f>K140*6</f>
        <v>0</v>
      </c>
      <c r="Q140" s="409">
        <f>K140*7</f>
        <v>0</v>
      </c>
      <c r="R140" s="409">
        <f>K140*8</f>
        <v>0</v>
      </c>
      <c r="S140" s="409">
        <f>K140*9</f>
        <v>0</v>
      </c>
      <c r="T140" s="409">
        <f>K140*10</f>
        <v>0</v>
      </c>
      <c r="U140" s="409">
        <f>K140*11</f>
        <v>0</v>
      </c>
      <c r="V140" s="409">
        <f>K140*12</f>
        <v>0</v>
      </c>
    </row>
    <row r="141" spans="9:22" ht="12.75">
      <c r="I141" s="368" t="s">
        <v>59</v>
      </c>
      <c r="K141" s="368">
        <f>K26</f>
        <v>0</v>
      </c>
      <c r="L141" s="368">
        <f>K26+L26</f>
        <v>0</v>
      </c>
      <c r="M141" s="368">
        <f>K26+L26+M26</f>
        <v>0</v>
      </c>
      <c r="N141" s="368">
        <f>K26+L26+M26+N26</f>
        <v>0</v>
      </c>
      <c r="O141" s="368">
        <f>K26+L26+M26+N26+O26</f>
        <v>0</v>
      </c>
      <c r="P141" s="368">
        <f>K26+L26+M26+N26+O26+P26</f>
        <v>0</v>
      </c>
      <c r="Q141" s="368">
        <f>K26+L26+M26+N26+O26+P26+Q26</f>
        <v>0</v>
      </c>
      <c r="R141" s="368">
        <f>K26+L26+M26+N26+O26+P26+Q26+R26</f>
        <v>0</v>
      </c>
      <c r="S141" s="368">
        <f>K26+L26+M26+N26+O26+P26+Q26+R26+S26</f>
        <v>0</v>
      </c>
      <c r="T141" s="368">
        <f>K26+L26+M26+N26+O26+P26+Q26+R26+S26+T26</f>
        <v>0</v>
      </c>
      <c r="U141" s="368">
        <f>K26+L26+M26+N26+O26+P26+Q26+R26+S26+T26+U26</f>
        <v>0</v>
      </c>
      <c r="V141" s="368">
        <f>K26+L26+M26+N26+O26+P26+Q26+R26+S26+T26+U26+V26</f>
        <v>0</v>
      </c>
    </row>
    <row r="143" spans="7:22" ht="12.75">
      <c r="G143" s="368" t="s">
        <v>65</v>
      </c>
      <c r="I143" s="368" t="s">
        <v>58</v>
      </c>
      <c r="K143" s="409">
        <f>H28</f>
        <v>0</v>
      </c>
      <c r="L143" s="409">
        <f>K143*2</f>
        <v>0</v>
      </c>
      <c r="M143" s="409">
        <f>K143*3</f>
        <v>0</v>
      </c>
      <c r="N143" s="409">
        <f>K143*4</f>
        <v>0</v>
      </c>
      <c r="O143" s="409">
        <f>K143*5</f>
        <v>0</v>
      </c>
      <c r="P143" s="409">
        <f>K143*6</f>
        <v>0</v>
      </c>
      <c r="Q143" s="409">
        <f>K143*7</f>
        <v>0</v>
      </c>
      <c r="R143" s="409">
        <f>K143*8</f>
        <v>0</v>
      </c>
      <c r="S143" s="409">
        <f>K143*9</f>
        <v>0</v>
      </c>
      <c r="T143" s="409">
        <f>K143*10</f>
        <v>0</v>
      </c>
      <c r="U143" s="409">
        <f>K143*11</f>
        <v>0</v>
      </c>
      <c r="V143" s="409">
        <f>K143*12</f>
        <v>0</v>
      </c>
    </row>
    <row r="144" spans="9:22" ht="12.75">
      <c r="I144" s="368" t="s">
        <v>59</v>
      </c>
      <c r="K144" s="368">
        <f>K28</f>
        <v>0</v>
      </c>
      <c r="L144" s="368">
        <f>K28+L28</f>
        <v>0</v>
      </c>
      <c r="M144" s="368">
        <f>K28+L28+M28</f>
        <v>0</v>
      </c>
      <c r="N144" s="368">
        <f>K28+L28+M28+N28</f>
        <v>0</v>
      </c>
      <c r="O144" s="368">
        <f>K28+L28+M28+N28+O28</f>
        <v>0</v>
      </c>
      <c r="P144" s="368">
        <f>K28+L28+M28+N28+O28+P28</f>
        <v>0</v>
      </c>
      <c r="Q144" s="368">
        <f>K28+L28+M28+N28+O28+P28+Q28</f>
        <v>0</v>
      </c>
      <c r="R144" s="368">
        <f>K28+L28+M28+N28+O28+P28+Q28+R28</f>
        <v>0</v>
      </c>
      <c r="S144" s="368">
        <f>K28+L28+M28+N28+O28+P28+Q28+R28+S28</f>
        <v>0</v>
      </c>
      <c r="T144" s="368">
        <f>K28+L28+M28+N28+O28+P28+Q28+R28+S28+T28</f>
        <v>0</v>
      </c>
      <c r="U144" s="368">
        <f>K28+L28+M28+N28+O28+P28+Q28+R28+S28+T28+U28</f>
        <v>0</v>
      </c>
      <c r="V144" s="368">
        <f>K28+L28+M28+N28+O28+P28+Q28+R28+S28+T28+U28+V28</f>
        <v>0</v>
      </c>
    </row>
    <row r="146" spans="7:22" ht="12.75">
      <c r="G146" s="368" t="s">
        <v>66</v>
      </c>
      <c r="I146" s="368" t="s">
        <v>58</v>
      </c>
      <c r="K146" s="409">
        <f>H30</f>
        <v>0</v>
      </c>
      <c r="L146" s="409">
        <f>K146*2</f>
        <v>0</v>
      </c>
      <c r="M146" s="409">
        <f>K146*3</f>
        <v>0</v>
      </c>
      <c r="N146" s="409">
        <f>K146*4</f>
        <v>0</v>
      </c>
      <c r="O146" s="409">
        <f>K146*5</f>
        <v>0</v>
      </c>
      <c r="P146" s="409">
        <f>K146*6</f>
        <v>0</v>
      </c>
      <c r="Q146" s="409">
        <f>K146*7</f>
        <v>0</v>
      </c>
      <c r="R146" s="409">
        <f>K146*8</f>
        <v>0</v>
      </c>
      <c r="S146" s="409">
        <f>K146*9</f>
        <v>0</v>
      </c>
      <c r="T146" s="409">
        <f>K146*10</f>
        <v>0</v>
      </c>
      <c r="U146" s="409">
        <f>K146*11</f>
        <v>0</v>
      </c>
      <c r="V146" s="409">
        <f>K146*12</f>
        <v>0</v>
      </c>
    </row>
    <row r="147" spans="9:22" ht="12.75">
      <c r="I147" s="368" t="s">
        <v>59</v>
      </c>
      <c r="K147" s="368">
        <f>K30</f>
        <v>0</v>
      </c>
      <c r="L147" s="368">
        <f>K30+L30</f>
        <v>0</v>
      </c>
      <c r="M147" s="368">
        <f>K30+L30+M30</f>
        <v>0</v>
      </c>
      <c r="N147" s="368">
        <f>K30+L30+M30+N30</f>
        <v>0</v>
      </c>
      <c r="O147" s="368">
        <f>K30+L30+M30+N30+O30</f>
        <v>0</v>
      </c>
      <c r="P147" s="368">
        <f>K30+L30+M30+N30+O30+P30</f>
        <v>0</v>
      </c>
      <c r="Q147" s="368">
        <f>K30+L30+M30+N30+O30+P30+Q30</f>
        <v>0</v>
      </c>
      <c r="R147" s="368">
        <f>K30+L30+M30+N30+O30+P30+Q30+R30</f>
        <v>0</v>
      </c>
      <c r="S147" s="368">
        <f>K30+L30+M30+N30+O30+P30+Q30+R30+S30</f>
        <v>0</v>
      </c>
      <c r="T147" s="368">
        <f>K30+L30+M30+N30+O30+P30+Q30+R30+S30+T30</f>
        <v>0</v>
      </c>
      <c r="U147" s="368">
        <f>K30+L30+M30+N30+O30+P30+Q30+R30+S30+T30+U30</f>
        <v>0</v>
      </c>
      <c r="V147" s="368">
        <f>K30+L30+M30+N30+O30+P30+Q30+R30+S30+T30+U30+V30</f>
        <v>0</v>
      </c>
    </row>
    <row r="149" spans="7:22" ht="12.75">
      <c r="G149" s="368" t="s">
        <v>67</v>
      </c>
      <c r="I149" s="368" t="s">
        <v>58</v>
      </c>
      <c r="K149" s="409">
        <f>H39</f>
        <v>0</v>
      </c>
      <c r="L149" s="409">
        <f>K149*2</f>
        <v>0</v>
      </c>
      <c r="M149" s="409">
        <f>K149*3</f>
        <v>0</v>
      </c>
      <c r="N149" s="409">
        <f>K149*4</f>
        <v>0</v>
      </c>
      <c r="O149" s="409">
        <f>K149*5</f>
        <v>0</v>
      </c>
      <c r="P149" s="409">
        <f>K149*6</f>
        <v>0</v>
      </c>
      <c r="Q149" s="409">
        <f>K149*7</f>
        <v>0</v>
      </c>
      <c r="R149" s="409">
        <f>K149*8</f>
        <v>0</v>
      </c>
      <c r="S149" s="409">
        <f>K149*9</f>
        <v>0</v>
      </c>
      <c r="T149" s="409">
        <f>K149*10</f>
        <v>0</v>
      </c>
      <c r="U149" s="409">
        <f>K149*11</f>
        <v>0</v>
      </c>
      <c r="V149" s="409">
        <f>K149*12</f>
        <v>0</v>
      </c>
    </row>
    <row r="150" spans="9:22" ht="12.75">
      <c r="I150" s="368" t="s">
        <v>59</v>
      </c>
      <c r="K150" s="368">
        <f>K39</f>
        <v>0</v>
      </c>
      <c r="L150" s="368">
        <f>K39+L39</f>
        <v>0</v>
      </c>
      <c r="M150" s="368">
        <f>K39+L39+M39</f>
        <v>0</v>
      </c>
      <c r="N150" s="368">
        <f>K39+L39+M39+N39</f>
        <v>0</v>
      </c>
      <c r="O150" s="368">
        <f>K39+L39+M39+N39+O39</f>
        <v>0</v>
      </c>
      <c r="P150" s="368">
        <f>K39+L39+M39+N39+O39+P39</f>
        <v>0</v>
      </c>
      <c r="Q150" s="368">
        <f>K39+L39+M39+N39+O39+P39+Q39</f>
        <v>0</v>
      </c>
      <c r="R150" s="368">
        <f>K39+L39+M39+N39+O39+P39+Q39+R39</f>
        <v>0</v>
      </c>
      <c r="S150" s="368">
        <f>K39+L39+M39+N39+O39+P39+Q39+R39+S39</f>
        <v>0</v>
      </c>
      <c r="T150" s="368">
        <f>K39+L39+M39+N39+O39+P39+Q39+R39+S39+T39</f>
        <v>0</v>
      </c>
      <c r="U150" s="368">
        <f>K39+L39+M39+N39+O39+P39+Q39+R39+S39+T39+U39</f>
        <v>0</v>
      </c>
      <c r="V150" s="368">
        <f>K39+L39+M39+N39+O39+P39+Q39+R39+S39+T39+U39+V39</f>
        <v>0</v>
      </c>
    </row>
    <row r="152" spans="7:22" ht="15" customHeight="1">
      <c r="G152" s="368" t="s">
        <v>68</v>
      </c>
      <c r="I152" s="368" t="s">
        <v>58</v>
      </c>
      <c r="K152" s="409">
        <f>H44</f>
        <v>0</v>
      </c>
      <c r="L152" s="409">
        <f>K152*2</f>
        <v>0</v>
      </c>
      <c r="M152" s="409">
        <f>K152*3</f>
        <v>0</v>
      </c>
      <c r="N152" s="409">
        <f>K152*4</f>
        <v>0</v>
      </c>
      <c r="O152" s="409">
        <f>K152*5</f>
        <v>0</v>
      </c>
      <c r="P152" s="409">
        <f>K152*6</f>
        <v>0</v>
      </c>
      <c r="Q152" s="409">
        <f>K152*7</f>
        <v>0</v>
      </c>
      <c r="R152" s="409">
        <f>K152*8</f>
        <v>0</v>
      </c>
      <c r="S152" s="409">
        <f>K152*9</f>
        <v>0</v>
      </c>
      <c r="T152" s="409">
        <f>K152*10</f>
        <v>0</v>
      </c>
      <c r="U152" s="409">
        <f>K152*11</f>
        <v>0</v>
      </c>
      <c r="V152" s="409">
        <f>K152*12</f>
        <v>0</v>
      </c>
    </row>
    <row r="153" spans="9:22" ht="12.75">
      <c r="I153" s="368" t="s">
        <v>59</v>
      </c>
      <c r="K153" s="368">
        <f>K44</f>
        <v>0</v>
      </c>
      <c r="L153" s="368">
        <f>K44+L44</f>
        <v>0</v>
      </c>
      <c r="M153" s="368">
        <f>K44+L44+M44</f>
        <v>0</v>
      </c>
      <c r="N153" s="368">
        <f>K44+L44+M44+N44</f>
        <v>0</v>
      </c>
      <c r="O153" s="368">
        <f>K44+L44+M44+N44+O44</f>
        <v>0</v>
      </c>
      <c r="P153" s="368">
        <f>K44+L44+M44+N44+O44+P44</f>
        <v>0</v>
      </c>
      <c r="Q153" s="368">
        <f>K44+L44+M44+N44+O44+P44+Q44</f>
        <v>0</v>
      </c>
      <c r="R153" s="368">
        <f>K44+L44+M44+N44+O44+P44+Q44+R44</f>
        <v>0</v>
      </c>
      <c r="S153" s="368">
        <f>K44+L44+M44+N44+O44+P44+Q44+R44+S44</f>
        <v>0</v>
      </c>
      <c r="T153" s="368">
        <f>K44+L44+M44+N44+O44+P44+Q44+R44+S44+T44</f>
        <v>0</v>
      </c>
      <c r="U153" s="368">
        <f>K44+L44+M44+N44+O44+P44+Q44+R44+S44+T44+U44</f>
        <v>0</v>
      </c>
      <c r="V153" s="368">
        <f>K44+L44+M44+N44+O44+P44+Q44+R44+S44+T44+U44+V44</f>
        <v>0</v>
      </c>
    </row>
    <row r="155" spans="7:22" ht="12.75">
      <c r="G155" s="368" t="s">
        <v>69</v>
      </c>
      <c r="I155" s="368" t="s">
        <v>58</v>
      </c>
      <c r="K155" s="409">
        <f>H46</f>
        <v>0</v>
      </c>
      <c r="L155" s="409">
        <f>K155*2</f>
        <v>0</v>
      </c>
      <c r="M155" s="409">
        <f>K155*3</f>
        <v>0</v>
      </c>
      <c r="N155" s="409">
        <f>K155*4</f>
        <v>0</v>
      </c>
      <c r="O155" s="409">
        <f>K155*5</f>
        <v>0</v>
      </c>
      <c r="P155" s="409">
        <f>K155*6</f>
        <v>0</v>
      </c>
      <c r="Q155" s="409">
        <f>K155*7</f>
        <v>0</v>
      </c>
      <c r="R155" s="409">
        <f>K155*8</f>
        <v>0</v>
      </c>
      <c r="S155" s="409">
        <f>K155*9</f>
        <v>0</v>
      </c>
      <c r="T155" s="409">
        <f>K155*10</f>
        <v>0</v>
      </c>
      <c r="U155" s="409">
        <f>K155*11</f>
        <v>0</v>
      </c>
      <c r="V155" s="409">
        <f>K155*12</f>
        <v>0</v>
      </c>
    </row>
    <row r="156" spans="9:22" ht="12.75">
      <c r="I156" s="368" t="s">
        <v>59</v>
      </c>
      <c r="K156" s="368">
        <f>K46</f>
        <v>0</v>
      </c>
      <c r="L156" s="368">
        <f>K46+L46</f>
        <v>0</v>
      </c>
      <c r="M156" s="368">
        <f>K46+L46+M46</f>
        <v>0</v>
      </c>
      <c r="N156" s="368">
        <f>K46+L46+M46+N46</f>
        <v>0</v>
      </c>
      <c r="O156" s="368">
        <f>K46+L46+M46+N46+O46</f>
        <v>0</v>
      </c>
      <c r="P156" s="368">
        <f>K46+L46+M46+N46+O46+P46</f>
        <v>0</v>
      </c>
      <c r="Q156" s="368">
        <f>K46+L46+M46+N46+O46+P46+Q46</f>
        <v>0</v>
      </c>
      <c r="R156" s="368">
        <f>K46+L46+M46+N46+O46+P46+Q46+R46</f>
        <v>0</v>
      </c>
      <c r="S156" s="368">
        <f>K46+L46+M46+N46+O46+P46+Q46+R46+S46</f>
        <v>0</v>
      </c>
      <c r="T156" s="368">
        <f>K46+L46+M46+N46+O46+P46+Q46+R46+S46+T46</f>
        <v>0</v>
      </c>
      <c r="U156" s="368">
        <f>K46+L46+M46+N46+O46+P46+Q46+R46+S46+T46+U46</f>
        <v>0</v>
      </c>
      <c r="V156" s="368">
        <f>K46+L46+M46+N46+O46+P46+Q46+R46+S46+T46+U46+V46</f>
        <v>0</v>
      </c>
    </row>
    <row r="158" spans="7:22" ht="25.5">
      <c r="G158" s="368" t="s">
        <v>70</v>
      </c>
      <c r="I158" s="368" t="s">
        <v>58</v>
      </c>
      <c r="K158" s="409">
        <f>H58</f>
        <v>0</v>
      </c>
      <c r="L158" s="409">
        <f>K158*2</f>
        <v>0</v>
      </c>
      <c r="M158" s="409">
        <f>K158*3</f>
        <v>0</v>
      </c>
      <c r="N158" s="409">
        <f>K158*4</f>
        <v>0</v>
      </c>
      <c r="O158" s="409">
        <f>K158*5</f>
        <v>0</v>
      </c>
      <c r="P158" s="409">
        <f>K158*6</f>
        <v>0</v>
      </c>
      <c r="Q158" s="409">
        <f>K158*7</f>
        <v>0</v>
      </c>
      <c r="R158" s="409">
        <f>K158*8</f>
        <v>0</v>
      </c>
      <c r="S158" s="409">
        <f>K158*9</f>
        <v>0</v>
      </c>
      <c r="T158" s="409">
        <f>K158*10</f>
        <v>0</v>
      </c>
      <c r="U158" s="409">
        <f>K158*11</f>
        <v>0</v>
      </c>
      <c r="V158" s="409">
        <f>K158*12</f>
        <v>0</v>
      </c>
    </row>
    <row r="159" spans="9:22" ht="12.75">
      <c r="I159" s="368" t="s">
        <v>59</v>
      </c>
      <c r="K159" s="368">
        <f>K58</f>
        <v>0</v>
      </c>
      <c r="L159" s="368">
        <f>K58+L58</f>
        <v>0</v>
      </c>
      <c r="M159" s="368">
        <f>K58+L58+M58</f>
        <v>0</v>
      </c>
      <c r="N159" s="368">
        <f>K58+L58+M58+N58</f>
        <v>0</v>
      </c>
      <c r="O159" s="368">
        <f>K58+L58+M58+N58+O58</f>
        <v>0</v>
      </c>
      <c r="P159" s="368">
        <f>K58+L58+M58+N58+O58+P58</f>
        <v>0</v>
      </c>
      <c r="Q159" s="368">
        <f>K58+L58+M58+N58+O58+P58+Q58</f>
        <v>0</v>
      </c>
      <c r="R159" s="368">
        <f>K58+L58+M58+N58+O58+P58+Q58+R58</f>
        <v>0</v>
      </c>
      <c r="S159" s="368">
        <f>K58+L58+M58+N58+O58+P58+Q58+R58+S58</f>
        <v>0</v>
      </c>
      <c r="T159" s="368">
        <f>K58+L58+M58+N58+O58+P58+Q58+R58+S58+T58</f>
        <v>0</v>
      </c>
      <c r="U159" s="368">
        <f>K58+L58+M58+N58+O58+P58+Q58+R58+S58+T58+U58</f>
        <v>0</v>
      </c>
      <c r="V159" s="368">
        <f>K58+L58+M58+N58+O58+P58+Q58+R58+S58+T58+U58+V58</f>
        <v>0</v>
      </c>
    </row>
    <row r="161" spans="7:22" ht="25.5">
      <c r="G161" s="368" t="s">
        <v>71</v>
      </c>
      <c r="I161" s="368" t="s">
        <v>58</v>
      </c>
      <c r="K161" s="409">
        <f>H60</f>
        <v>0</v>
      </c>
      <c r="L161" s="409">
        <f>K161*2</f>
        <v>0</v>
      </c>
      <c r="M161" s="409">
        <f>K161*3</f>
        <v>0</v>
      </c>
      <c r="N161" s="409">
        <f>K161*4</f>
        <v>0</v>
      </c>
      <c r="O161" s="409">
        <f>K161*5</f>
        <v>0</v>
      </c>
      <c r="P161" s="409">
        <f>K161*6</f>
        <v>0</v>
      </c>
      <c r="Q161" s="409">
        <f>K161*7</f>
        <v>0</v>
      </c>
      <c r="R161" s="409">
        <f>K161*8</f>
        <v>0</v>
      </c>
      <c r="S161" s="409">
        <f>K161*9</f>
        <v>0</v>
      </c>
      <c r="T161" s="409">
        <f>K161*10</f>
        <v>0</v>
      </c>
      <c r="U161" s="409">
        <f>K161*11</f>
        <v>0</v>
      </c>
      <c r="V161" s="409">
        <f>K161*12</f>
        <v>0</v>
      </c>
    </row>
    <row r="162" spans="9:22" ht="12.75">
      <c r="I162" s="368" t="s">
        <v>59</v>
      </c>
      <c r="K162" s="368">
        <f>K60</f>
        <v>0</v>
      </c>
      <c r="L162" s="368">
        <f>K60+L60</f>
        <v>0</v>
      </c>
      <c r="M162" s="368">
        <f>K60+L60+M60</f>
        <v>0</v>
      </c>
      <c r="N162" s="368">
        <f>K60+L60+M60+N60</f>
        <v>0</v>
      </c>
      <c r="O162" s="368">
        <f>K60+L60+M60+N60+O60</f>
        <v>0</v>
      </c>
      <c r="P162" s="368">
        <f>K60+L60+M60+N60+O60+P60</f>
        <v>0</v>
      </c>
      <c r="Q162" s="368">
        <f>K60+L60+M60+N60+O60+P60+Q60</f>
        <v>0</v>
      </c>
      <c r="R162" s="368">
        <f>K60+L60+M60+N60+O60+P60+Q60+R60</f>
        <v>0</v>
      </c>
      <c r="S162" s="368">
        <f>K60+L60+M60+N60+O60+P60+Q60+R60+S60</f>
        <v>0</v>
      </c>
      <c r="T162" s="368">
        <f>K60+L60+M60+N60+O60+P60+Q60+R60+S60+T60</f>
        <v>0</v>
      </c>
      <c r="U162" s="368">
        <f>K60+L60+M60+N60+O60+P60+Q60+R60+S60+T60+U60</f>
        <v>0</v>
      </c>
      <c r="V162" s="368">
        <f>K60+L60+M60+N60+O60+P60+Q60+R60+S60+T60+U60+V60</f>
        <v>0</v>
      </c>
    </row>
    <row r="164" spans="7:22" ht="12.75">
      <c r="G164" s="368" t="s">
        <v>72</v>
      </c>
      <c r="I164" s="368" t="s">
        <v>58</v>
      </c>
      <c r="K164" s="410">
        <f>H62</f>
        <v>0</v>
      </c>
      <c r="L164" s="410">
        <f>K164*2</f>
        <v>0</v>
      </c>
      <c r="M164" s="409">
        <f>K164*3</f>
        <v>0</v>
      </c>
      <c r="N164" s="409">
        <f>K164*4</f>
        <v>0</v>
      </c>
      <c r="O164" s="409">
        <f>K164*5</f>
        <v>0</v>
      </c>
      <c r="P164" s="409">
        <f>K164*6</f>
        <v>0</v>
      </c>
      <c r="Q164" s="409">
        <f>K164*7</f>
        <v>0</v>
      </c>
      <c r="R164" s="409">
        <f>K164*8</f>
        <v>0</v>
      </c>
      <c r="S164" s="409">
        <f>K164*9</f>
        <v>0</v>
      </c>
      <c r="T164" s="409">
        <f>K164*10</f>
        <v>0</v>
      </c>
      <c r="U164" s="409">
        <f>K164*11</f>
        <v>0</v>
      </c>
      <c r="V164" s="409">
        <f>K164*12</f>
        <v>0</v>
      </c>
    </row>
    <row r="165" spans="9:22" ht="12.75">
      <c r="I165" s="368" t="s">
        <v>59</v>
      </c>
      <c r="K165" s="368">
        <f>K62</f>
        <v>0</v>
      </c>
      <c r="L165" s="368">
        <f>K62+L62</f>
        <v>0</v>
      </c>
      <c r="M165" s="368">
        <f>K62+L62+M62</f>
        <v>0</v>
      </c>
      <c r="N165" s="368">
        <f>K62+L62+M62+N62</f>
        <v>0</v>
      </c>
      <c r="O165" s="368">
        <f>K62+L62+M62+N62+O62</f>
        <v>0</v>
      </c>
      <c r="P165" s="368">
        <f>K62+L62+M62+N62+O62+P62</f>
        <v>0</v>
      </c>
      <c r="Q165" s="368">
        <f>K62+L62+M62+N62+O62+P62+Q62</f>
        <v>0</v>
      </c>
      <c r="R165" s="368">
        <f>K62+L62+M62+N62+O62+P62+Q62+R62</f>
        <v>0</v>
      </c>
      <c r="S165" s="368">
        <f>K62+L62+M62+N62+O62+P62+Q62+R62+S62</f>
        <v>0</v>
      </c>
      <c r="T165" s="368">
        <f>K62+L62+M62+N62+O62+P62+Q62+R62+S62+T62</f>
        <v>0</v>
      </c>
      <c r="U165" s="409">
        <f>K62+L62+M62+N62+O62+P62+Q62+R62+S62+T62+U62</f>
        <v>0</v>
      </c>
      <c r="V165" s="368">
        <f>K62+L62+M62+N62+O62+P62+Q62+R62+S62+T62+U62+V62</f>
        <v>0</v>
      </c>
    </row>
    <row r="167" spans="7:22" ht="12.75">
      <c r="G167" s="368" t="s">
        <v>73</v>
      </c>
      <c r="I167" s="368" t="s">
        <v>58</v>
      </c>
      <c r="K167" s="409">
        <f>H64</f>
        <v>0</v>
      </c>
      <c r="L167" s="409">
        <f>K167*2</f>
        <v>0</v>
      </c>
      <c r="M167" s="409">
        <f>K167*3</f>
        <v>0</v>
      </c>
      <c r="N167" s="409">
        <f>K167*4</f>
        <v>0</v>
      </c>
      <c r="O167" s="409">
        <f>K167*5</f>
        <v>0</v>
      </c>
      <c r="P167" s="409">
        <f>K167*6</f>
        <v>0</v>
      </c>
      <c r="Q167" s="409">
        <f>K167*7</f>
        <v>0</v>
      </c>
      <c r="R167" s="409">
        <f>K167*8</f>
        <v>0</v>
      </c>
      <c r="S167" s="409">
        <f>K167*9</f>
        <v>0</v>
      </c>
      <c r="T167" s="409">
        <f>K167*10</f>
        <v>0</v>
      </c>
      <c r="U167" s="409">
        <f>K167*11</f>
        <v>0</v>
      </c>
      <c r="V167" s="409">
        <f>K167*12</f>
        <v>0</v>
      </c>
    </row>
    <row r="168" spans="9:22" ht="12.75">
      <c r="I168" s="368" t="s">
        <v>59</v>
      </c>
      <c r="K168" s="368">
        <f>K64</f>
        <v>0</v>
      </c>
      <c r="L168" s="368">
        <f>K64+L64</f>
        <v>0</v>
      </c>
      <c r="M168" s="368">
        <f>K64+L64+M64</f>
        <v>0</v>
      </c>
      <c r="N168" s="368">
        <f>K64+L64+M64+N64</f>
        <v>0</v>
      </c>
      <c r="O168" s="368">
        <f>K64+L64+M64+N64+O64</f>
        <v>0</v>
      </c>
      <c r="P168" s="368">
        <f>K64+L64+M64+N64+O64+P64</f>
        <v>0</v>
      </c>
      <c r="Q168" s="368">
        <f>K64+L64+M64+N64+O64+P64+Q64</f>
        <v>0</v>
      </c>
      <c r="R168" s="368">
        <f>K64+L64+M64+N64+O64+P64+Q64+R64</f>
        <v>0</v>
      </c>
      <c r="S168" s="368">
        <f>K64+L64+M64+N64+O64+P64+Q64+R64+S64</f>
        <v>0</v>
      </c>
      <c r="T168" s="368">
        <f>K64+L64+M64+N64+O64+P64+Q64+R64+S64+T64</f>
        <v>0</v>
      </c>
      <c r="U168" s="409">
        <f>K64+L64+M64+N64+O64+P64+Q64+R64+S64+T64+U64</f>
        <v>0</v>
      </c>
      <c r="V168" s="368">
        <f>K64+L64+M64+N64+O64+P64+Q64+R64+S64+T64+U64+V64</f>
        <v>0</v>
      </c>
    </row>
    <row r="170" spans="7:22" ht="16.5" customHeight="1">
      <c r="G170" s="368" t="s">
        <v>74</v>
      </c>
      <c r="I170" s="368" t="s">
        <v>58</v>
      </c>
      <c r="K170" s="409">
        <f>H69</f>
        <v>0</v>
      </c>
      <c r="L170" s="409">
        <f>K170*2</f>
        <v>0</v>
      </c>
      <c r="M170" s="409">
        <f>K170*3</f>
        <v>0</v>
      </c>
      <c r="N170" s="409">
        <f>K170*4</f>
        <v>0</v>
      </c>
      <c r="O170" s="409">
        <f>K170*5</f>
        <v>0</v>
      </c>
      <c r="P170" s="409">
        <f>K170*6</f>
        <v>0</v>
      </c>
      <c r="Q170" s="409">
        <f>K170*7</f>
        <v>0</v>
      </c>
      <c r="R170" s="409">
        <f>K170*8</f>
        <v>0</v>
      </c>
      <c r="S170" s="409">
        <f>K170*9</f>
        <v>0</v>
      </c>
      <c r="T170" s="409">
        <f>K170*10</f>
        <v>0</v>
      </c>
      <c r="U170" s="409">
        <f>K170*11</f>
        <v>0</v>
      </c>
      <c r="V170" s="409">
        <f>K170*12</f>
        <v>0</v>
      </c>
    </row>
    <row r="171" spans="9:22" ht="12.75">
      <c r="I171" s="368" t="s">
        <v>59</v>
      </c>
      <c r="K171" s="368">
        <f>K69</f>
        <v>0</v>
      </c>
      <c r="L171" s="368">
        <f>K69+L69</f>
        <v>0</v>
      </c>
      <c r="M171" s="368">
        <f>K69+L69+M69</f>
        <v>0</v>
      </c>
      <c r="N171" s="368">
        <f>K69+L69+M69+N69</f>
        <v>0</v>
      </c>
      <c r="O171" s="368">
        <f>K69+L69+M69+N69+O69</f>
        <v>0</v>
      </c>
      <c r="P171" s="368">
        <f>K69+L69+M69+N69+O69+P69</f>
        <v>0</v>
      </c>
      <c r="Q171" s="368">
        <f>K69+L69+M69+N69+O69+P69+Q69</f>
        <v>0</v>
      </c>
      <c r="R171" s="368">
        <f>K69+L69+M69+N69+O69+P69+Q69+R69</f>
        <v>0</v>
      </c>
      <c r="S171" s="368">
        <f>K69+L69+M69+N69+O69+P69+Q69+R69+S69</f>
        <v>0</v>
      </c>
      <c r="T171" s="368">
        <f>K69+L69+M69+N69+O69+P69+Q69+R69+S69+T69</f>
        <v>0</v>
      </c>
      <c r="U171" s="409">
        <f>K69+L69+M69+N69+O69+P69+Q69+R69+S69+T69+U69</f>
        <v>0</v>
      </c>
      <c r="V171" s="368">
        <f>K69+L69+M69+N69+O69+P69+Q69+R69+S69+T69+U69+V69</f>
        <v>0</v>
      </c>
    </row>
    <row r="173" spans="7:22" ht="15.75" customHeight="1">
      <c r="G173" s="368" t="s">
        <v>75</v>
      </c>
      <c r="I173" s="368" t="s">
        <v>58</v>
      </c>
      <c r="K173" s="409">
        <f>H71</f>
        <v>0</v>
      </c>
      <c r="L173" s="409">
        <f>K173*2</f>
        <v>0</v>
      </c>
      <c r="M173" s="409">
        <f>K173*3</f>
        <v>0</v>
      </c>
      <c r="N173" s="409">
        <f>K173*4</f>
        <v>0</v>
      </c>
      <c r="O173" s="409">
        <f>K173*5</f>
        <v>0</v>
      </c>
      <c r="P173" s="409">
        <f>K173*6</f>
        <v>0</v>
      </c>
      <c r="Q173" s="409">
        <f>K173*7</f>
        <v>0</v>
      </c>
      <c r="R173" s="409">
        <f>K173*8</f>
        <v>0</v>
      </c>
      <c r="S173" s="409">
        <f>K173*9</f>
        <v>0</v>
      </c>
      <c r="T173" s="409">
        <f>K173*10</f>
        <v>0</v>
      </c>
      <c r="U173" s="409">
        <f>K173*11</f>
        <v>0</v>
      </c>
      <c r="V173" s="409">
        <f>U173</f>
        <v>0</v>
      </c>
    </row>
    <row r="174" spans="9:22" ht="12.75">
      <c r="I174" s="368" t="s">
        <v>59</v>
      </c>
      <c r="K174" s="368">
        <f>K71</f>
        <v>0</v>
      </c>
      <c r="L174" s="368">
        <f>K71+L71</f>
        <v>0</v>
      </c>
      <c r="M174" s="368">
        <f>K71+L71+M71</f>
        <v>0</v>
      </c>
      <c r="N174" s="368">
        <f>K71+L71+M71+N71</f>
        <v>0</v>
      </c>
      <c r="O174" s="368">
        <f>K71+L71+M71+N71+O71</f>
        <v>0</v>
      </c>
      <c r="P174" s="368">
        <f>K71+L71+M71+N71+O71+P71</f>
        <v>0</v>
      </c>
      <c r="Q174" s="368">
        <f>K71+L71+M71+N71+O71+P71+Q71</f>
        <v>0</v>
      </c>
      <c r="R174" s="368">
        <f>K71+L71+M71+N71+O71+P71+Q71+R71</f>
        <v>0</v>
      </c>
      <c r="S174" s="368">
        <f>K71+L71+M71+N71+O71+P71+Q71+R71+S71</f>
        <v>0</v>
      </c>
      <c r="T174" s="368">
        <f>K71+L71+M71+N71+O71+P71+Q71+R71+S71+T71</f>
        <v>0</v>
      </c>
      <c r="U174" s="409">
        <f>K71+L71+M71+N71+O71+P71+Q71+R71+S71+T71+U71</f>
        <v>0</v>
      </c>
      <c r="V174" s="368">
        <f>K71+L71+M71+N71+O71+P71+Q71+R71+S71+T71+U71+V71</f>
        <v>0</v>
      </c>
    </row>
    <row r="176" spans="7:22" ht="15.75" customHeight="1">
      <c r="G176" s="368" t="s">
        <v>76</v>
      </c>
      <c r="I176" s="368" t="s">
        <v>58</v>
      </c>
      <c r="K176" s="409">
        <f>H73</f>
        <v>0</v>
      </c>
      <c r="L176" s="409">
        <f>K176*2</f>
        <v>0</v>
      </c>
      <c r="M176" s="409">
        <f>K176*3</f>
        <v>0</v>
      </c>
      <c r="N176" s="409">
        <f>K176*4</f>
        <v>0</v>
      </c>
      <c r="O176" s="409">
        <f>K176*5</f>
        <v>0</v>
      </c>
      <c r="P176" s="409">
        <f>K176*6</f>
        <v>0</v>
      </c>
      <c r="Q176" s="409">
        <f>K176*7</f>
        <v>0</v>
      </c>
      <c r="R176" s="409">
        <f>K176*8</f>
        <v>0</v>
      </c>
      <c r="S176" s="409">
        <f>K176*9</f>
        <v>0</v>
      </c>
      <c r="T176" s="409">
        <f>K176*10</f>
        <v>0</v>
      </c>
      <c r="U176" s="409">
        <f>K176*11</f>
        <v>0</v>
      </c>
      <c r="V176" s="409">
        <f>K176*12</f>
        <v>0</v>
      </c>
    </row>
    <row r="177" spans="9:22" ht="12.75">
      <c r="I177" s="368" t="s">
        <v>59</v>
      </c>
      <c r="K177" s="368">
        <f>K73</f>
        <v>0</v>
      </c>
      <c r="L177" s="368">
        <f>K73+L73</f>
        <v>0</v>
      </c>
      <c r="M177" s="368">
        <f>K73+L73+M73</f>
        <v>0</v>
      </c>
      <c r="N177" s="368">
        <f>K73+L73+M73+N73</f>
        <v>0</v>
      </c>
      <c r="O177" s="368">
        <f>K73+L73+M73+N73+O73</f>
        <v>0</v>
      </c>
      <c r="P177" s="368">
        <f>K73+L73+M73+N73+O73+P73</f>
        <v>0</v>
      </c>
      <c r="Q177" s="368">
        <f>K73+L73+M73+N73+O73+P73+Q73</f>
        <v>0</v>
      </c>
      <c r="R177" s="368">
        <f>K73+L73+M73+N73+O73+P73+Q73+R73</f>
        <v>0</v>
      </c>
      <c r="S177" s="368">
        <f>K73+L73+M73+N73+O73+P73+Q73+R73+S73</f>
        <v>0</v>
      </c>
      <c r="T177" s="368">
        <f>K73+L73+M73+N73+O73+P73+Q73+R73+S73+T73</f>
        <v>0</v>
      </c>
      <c r="U177" s="409">
        <f>K73+L73+M73+N73+O73+P73+Q73+R73+S73+T73+U73</f>
        <v>0</v>
      </c>
      <c r="V177" s="368">
        <f>K73+L73+M73+N73+O73+P73+Q73+R73+S73+T73+U73+V73</f>
        <v>0</v>
      </c>
    </row>
    <row r="179" spans="7:22" ht="14.25" customHeight="1">
      <c r="G179" s="368" t="s">
        <v>77</v>
      </c>
      <c r="I179" s="368" t="s">
        <v>58</v>
      </c>
      <c r="K179" s="409">
        <f>H75</f>
        <v>0</v>
      </c>
      <c r="L179" s="409">
        <f>K179*2</f>
        <v>0</v>
      </c>
      <c r="M179" s="409">
        <f>K179*3</f>
        <v>0</v>
      </c>
      <c r="N179" s="409">
        <f>K179*4</f>
        <v>0</v>
      </c>
      <c r="O179" s="409">
        <f>K179*5</f>
        <v>0</v>
      </c>
      <c r="P179" s="409">
        <f>K179*6</f>
        <v>0</v>
      </c>
      <c r="Q179" s="409">
        <f>K179*7</f>
        <v>0</v>
      </c>
      <c r="R179" s="409">
        <f>K179*8</f>
        <v>0</v>
      </c>
      <c r="S179" s="409">
        <f>K179*9</f>
        <v>0</v>
      </c>
      <c r="T179" s="409">
        <f>K179*10</f>
        <v>0</v>
      </c>
      <c r="U179" s="409">
        <f>K179*11</f>
        <v>0</v>
      </c>
      <c r="V179" s="409">
        <f>K179*12</f>
        <v>0</v>
      </c>
    </row>
    <row r="180" spans="9:22" ht="12.75">
      <c r="I180" s="368" t="s">
        <v>59</v>
      </c>
      <c r="K180" s="368">
        <f>K75</f>
        <v>0</v>
      </c>
      <c r="L180" s="368">
        <f>K75+L75</f>
        <v>0</v>
      </c>
      <c r="M180" s="368">
        <f>K75+L75+M75</f>
        <v>0</v>
      </c>
      <c r="N180" s="368">
        <f>K75+L75+M75+N75</f>
        <v>0</v>
      </c>
      <c r="O180" s="368">
        <f>K75+L75+M75+N75+O75</f>
        <v>0</v>
      </c>
      <c r="P180" s="368">
        <f>K75+L75+M75+N75+O75+P75</f>
        <v>0</v>
      </c>
      <c r="Q180" s="368">
        <f>K75+L75+M75+N75+O75+P75+Q75</f>
        <v>0</v>
      </c>
      <c r="R180" s="368">
        <f>K75+L75+M75+N75+O75+P75+Q75+R75</f>
        <v>0</v>
      </c>
      <c r="S180" s="368">
        <f>K75+L75+M75+N75+O75+P75+Q75+R75+S75</f>
        <v>0</v>
      </c>
      <c r="T180" s="368">
        <f>K75+L75+M75+N75+O75+P75+Q75+R75+S75+T75</f>
        <v>0</v>
      </c>
      <c r="U180" s="409">
        <f>K75+L75+M75+N75+O75+P75+Q75+R75+S75+T75+U75</f>
        <v>0</v>
      </c>
      <c r="V180" s="368">
        <f>K75+L75+M75+N75+O75+P75+Q75+R75+S75+T75+U75+V75</f>
        <v>0</v>
      </c>
    </row>
  </sheetData>
  <sheetProtection sheet="1" objects="1" scenarios="1"/>
  <mergeCells count="501">
    <mergeCell ref="B1:AA1"/>
    <mergeCell ref="B2:AA2"/>
    <mergeCell ref="B4:C6"/>
    <mergeCell ref="E4:I4"/>
    <mergeCell ref="K4:Y4"/>
    <mergeCell ref="AA4:AA5"/>
    <mergeCell ref="E5:E6"/>
    <mergeCell ref="F5:G6"/>
    <mergeCell ref="H5:I6"/>
    <mergeCell ref="X5:Y5"/>
    <mergeCell ref="B8:AA8"/>
    <mergeCell ref="B10:C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X10:X11"/>
    <mergeCell ref="Y10:Y11"/>
    <mergeCell ref="AA10:AA11"/>
    <mergeCell ref="B12:C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X12:X13"/>
    <mergeCell ref="Y12:Y13"/>
    <mergeCell ref="AA12:AA13"/>
    <mergeCell ref="B15:AA15"/>
    <mergeCell ref="B17:C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X17:X18"/>
    <mergeCell ref="Y17:Y18"/>
    <mergeCell ref="AA17:AA18"/>
    <mergeCell ref="B19:C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X19:X20"/>
    <mergeCell ref="Y19:Y20"/>
    <mergeCell ref="AA19:AA20"/>
    <mergeCell ref="B22:AA22"/>
    <mergeCell ref="B24:C25"/>
    <mergeCell ref="E24:E25"/>
    <mergeCell ref="F24:F25"/>
    <mergeCell ref="G24:G25"/>
    <mergeCell ref="H24:H25"/>
    <mergeCell ref="I24:I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X24:X25"/>
    <mergeCell ref="Y24:Y25"/>
    <mergeCell ref="AA24:AA25"/>
    <mergeCell ref="B26:C27"/>
    <mergeCell ref="E26:E27"/>
    <mergeCell ref="F26:F27"/>
    <mergeCell ref="G26:G27"/>
    <mergeCell ref="H26:H27"/>
    <mergeCell ref="I26:I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X26:X27"/>
    <mergeCell ref="Y26:Y27"/>
    <mergeCell ref="AA26:AA27"/>
    <mergeCell ref="B28:C29"/>
    <mergeCell ref="E28:E29"/>
    <mergeCell ref="F28:F29"/>
    <mergeCell ref="G28:G29"/>
    <mergeCell ref="H28:H29"/>
    <mergeCell ref="I28:I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X28:X29"/>
    <mergeCell ref="Y28:Y29"/>
    <mergeCell ref="AA28:AA29"/>
    <mergeCell ref="B30:C31"/>
    <mergeCell ref="E30:E31"/>
    <mergeCell ref="F30:F31"/>
    <mergeCell ref="G30:G31"/>
    <mergeCell ref="H30:H31"/>
    <mergeCell ref="I30:I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X30:X31"/>
    <mergeCell ref="Y30:Y31"/>
    <mergeCell ref="AA30:AA31"/>
    <mergeCell ref="B33:AA33"/>
    <mergeCell ref="B35:C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X35:X36"/>
    <mergeCell ref="Y35:Y36"/>
    <mergeCell ref="AA35:AA36"/>
    <mergeCell ref="B37:C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X37:X38"/>
    <mergeCell ref="Y37:Y38"/>
    <mergeCell ref="AA37:AA38"/>
    <mergeCell ref="B39:C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X39:X40"/>
    <mergeCell ref="Y39:Y40"/>
    <mergeCell ref="AA39:AA40"/>
    <mergeCell ref="B42:AA42"/>
    <mergeCell ref="B44:C45"/>
    <mergeCell ref="E44:E45"/>
    <mergeCell ref="F44:F45"/>
    <mergeCell ref="G44:G45"/>
    <mergeCell ref="H44:H45"/>
    <mergeCell ref="I44:I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X44:X45"/>
    <mergeCell ref="Y44:Y45"/>
    <mergeCell ref="AA44:AA45"/>
    <mergeCell ref="B46:C47"/>
    <mergeCell ref="E46:E47"/>
    <mergeCell ref="F46:F47"/>
    <mergeCell ref="G46:G47"/>
    <mergeCell ref="H46:H47"/>
    <mergeCell ref="I46:I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X46:X47"/>
    <mergeCell ref="Y46:Y47"/>
    <mergeCell ref="AA46:AA47"/>
    <mergeCell ref="B49:AA49"/>
    <mergeCell ref="B51:C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X51:X52"/>
    <mergeCell ref="Y51:Y52"/>
    <mergeCell ref="AA51:AA52"/>
    <mergeCell ref="B53:C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X53:X54"/>
    <mergeCell ref="Y53:Y54"/>
    <mergeCell ref="AA53:AA54"/>
    <mergeCell ref="B56:AA56"/>
    <mergeCell ref="B58:C59"/>
    <mergeCell ref="E58:E59"/>
    <mergeCell ref="F58:F59"/>
    <mergeCell ref="G58:G59"/>
    <mergeCell ref="H58:H59"/>
    <mergeCell ref="I58:I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X58:X59"/>
    <mergeCell ref="Y58:Y59"/>
    <mergeCell ref="AA58:AA59"/>
    <mergeCell ref="B60:C61"/>
    <mergeCell ref="E60:E61"/>
    <mergeCell ref="F60:F61"/>
    <mergeCell ref="G60:G61"/>
    <mergeCell ref="H60:H61"/>
    <mergeCell ref="I60:I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X60:X61"/>
    <mergeCell ref="Y60:Y61"/>
    <mergeCell ref="AA60:AA61"/>
    <mergeCell ref="B62:C63"/>
    <mergeCell ref="E62:E63"/>
    <mergeCell ref="F62:F63"/>
    <mergeCell ref="G62:G63"/>
    <mergeCell ref="H62:H63"/>
    <mergeCell ref="I62:I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X62:X63"/>
    <mergeCell ref="Y62:Y63"/>
    <mergeCell ref="AA62:AA63"/>
    <mergeCell ref="B64:C65"/>
    <mergeCell ref="E64:E65"/>
    <mergeCell ref="F64:F65"/>
    <mergeCell ref="G64:G65"/>
    <mergeCell ref="H64:H65"/>
    <mergeCell ref="I64:I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X64:X65"/>
    <mergeCell ref="Y64:Y65"/>
    <mergeCell ref="AA64:AA65"/>
    <mergeCell ref="B67:AA67"/>
    <mergeCell ref="B69:C70"/>
    <mergeCell ref="E69:E70"/>
    <mergeCell ref="F69:F70"/>
    <mergeCell ref="G69:G70"/>
    <mergeCell ref="H69:H70"/>
    <mergeCell ref="I69:I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X69:X70"/>
    <mergeCell ref="Y69:Y70"/>
    <mergeCell ref="AA69:AA70"/>
    <mergeCell ref="B71:C72"/>
    <mergeCell ref="E71:E72"/>
    <mergeCell ref="F71:F72"/>
    <mergeCell ref="G71:G72"/>
    <mergeCell ref="H71:H72"/>
    <mergeCell ref="I71:I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X71:X72"/>
    <mergeCell ref="Y71:Y72"/>
    <mergeCell ref="AA71:AA72"/>
    <mergeCell ref="B73:C74"/>
    <mergeCell ref="E73:E74"/>
    <mergeCell ref="F73:F74"/>
    <mergeCell ref="G73:G74"/>
    <mergeCell ref="H73:H74"/>
    <mergeCell ref="I73:I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X73:X74"/>
    <mergeCell ref="Y73:Y74"/>
    <mergeCell ref="AA73:AA74"/>
    <mergeCell ref="B75:C76"/>
    <mergeCell ref="E75:E76"/>
    <mergeCell ref="F75:F76"/>
    <mergeCell ref="G75:G76"/>
    <mergeCell ref="H75:H76"/>
    <mergeCell ref="I75:I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AA75:AA76"/>
    <mergeCell ref="U75:U76"/>
    <mergeCell ref="V75:V76"/>
    <mergeCell ref="X75:X76"/>
    <mergeCell ref="Y75:Y76"/>
  </mergeCells>
  <printOptions/>
  <pageMargins left="0.75" right="0.75" top="1" bottom="1" header="0.492125985" footer="0.492125985"/>
  <pageSetup horizontalDpi="600" verticalDpi="600" orientation="portrait" r:id="rId2"/>
  <ignoredErrors>
    <ignoredError sqref="H71 AA71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58"/>
  <sheetViews>
    <sheetView workbookViewId="0" topLeftCell="A1">
      <selection activeCell="B6" sqref="B6:C7"/>
    </sheetView>
  </sheetViews>
  <sheetFormatPr defaultColWidth="9.140625" defaultRowHeight="12.75"/>
  <cols>
    <col min="1" max="1" width="1.7109375" style="414" customWidth="1"/>
    <col min="2" max="2" width="40.57421875" style="414" customWidth="1"/>
    <col min="3" max="3" width="14.140625" style="414" customWidth="1"/>
    <col min="4" max="4" width="1.57421875" style="414" customWidth="1"/>
    <col min="5" max="5" width="44.00390625" style="414" customWidth="1"/>
    <col min="6" max="6" width="8.421875" style="414" customWidth="1"/>
    <col min="7" max="16384" width="9.140625" style="414" customWidth="1"/>
  </cols>
  <sheetData>
    <row r="1" ht="13.5" thickBot="1"/>
    <row r="2" spans="1:6" ht="12.75">
      <c r="A2" s="415"/>
      <c r="B2" s="743" t="s">
        <v>7</v>
      </c>
      <c r="C2" s="744"/>
      <c r="D2" s="416"/>
      <c r="E2" s="743" t="s">
        <v>78</v>
      </c>
      <c r="F2" s="744"/>
    </row>
    <row r="3" spans="1:6" ht="12.75">
      <c r="A3" s="415"/>
      <c r="B3" s="745"/>
      <c r="C3" s="746"/>
      <c r="D3" s="416"/>
      <c r="E3" s="745"/>
      <c r="F3" s="746"/>
    </row>
    <row r="4" spans="1:6" ht="12.75">
      <c r="A4" s="415"/>
      <c r="B4" s="747"/>
      <c r="C4" s="748"/>
      <c r="D4" s="416"/>
      <c r="E4" s="747"/>
      <c r="F4" s="748"/>
    </row>
    <row r="6" spans="2:6" ht="39" customHeight="1">
      <c r="B6" s="770" t="s">
        <v>26</v>
      </c>
      <c r="C6" s="771"/>
      <c r="D6" s="417"/>
      <c r="E6" s="418" t="s">
        <v>79</v>
      </c>
      <c r="F6" s="765" t="s">
        <v>80</v>
      </c>
    </row>
    <row r="7" spans="2:6" ht="33.75" customHeight="1">
      <c r="B7" s="763"/>
      <c r="C7" s="764"/>
      <c r="D7" s="417"/>
      <c r="E7" s="419" t="s">
        <v>81</v>
      </c>
      <c r="F7" s="766"/>
    </row>
    <row r="8" spans="2:6" ht="49.5" customHeight="1">
      <c r="B8" s="761" t="s">
        <v>27</v>
      </c>
      <c r="C8" s="762"/>
      <c r="D8" s="417"/>
      <c r="E8" s="420" t="s">
        <v>82</v>
      </c>
      <c r="F8" s="772" t="s">
        <v>80</v>
      </c>
    </row>
    <row r="9" spans="2:6" ht="32.25" customHeight="1">
      <c r="B9" s="767"/>
      <c r="C9" s="768"/>
      <c r="D9" s="417"/>
      <c r="E9" s="421" t="s">
        <v>83</v>
      </c>
      <c r="F9" s="769"/>
    </row>
    <row r="11" spans="2:6" ht="42.75">
      <c r="B11" s="770" t="s">
        <v>29</v>
      </c>
      <c r="C11" s="771"/>
      <c r="D11" s="48"/>
      <c r="E11" s="418" t="s">
        <v>84</v>
      </c>
      <c r="F11" s="765" t="s">
        <v>80</v>
      </c>
    </row>
    <row r="12" spans="2:6" ht="34.5" customHeight="1">
      <c r="B12" s="763"/>
      <c r="C12" s="764"/>
      <c r="D12" s="417"/>
      <c r="E12" s="419" t="s">
        <v>85</v>
      </c>
      <c r="F12" s="765"/>
    </row>
    <row r="13" spans="2:6" ht="71.25">
      <c r="B13" s="761" t="s">
        <v>30</v>
      </c>
      <c r="C13" s="762"/>
      <c r="D13" s="48"/>
      <c r="E13" s="420" t="s">
        <v>86</v>
      </c>
      <c r="F13" s="772" t="s">
        <v>80</v>
      </c>
    </row>
    <row r="14" spans="2:6" ht="61.5" customHeight="1">
      <c r="B14" s="767"/>
      <c r="C14" s="768"/>
      <c r="D14" s="417"/>
      <c r="E14" s="419" t="s">
        <v>87</v>
      </c>
      <c r="F14" s="765"/>
    </row>
    <row r="15" spans="2:6" ht="12.75" customHeight="1">
      <c r="B15" s="422"/>
      <c r="C15" s="422"/>
      <c r="D15" s="29"/>
      <c r="E15" s="423"/>
      <c r="F15" s="423"/>
    </row>
    <row r="16" spans="2:6" ht="28.5">
      <c r="B16" s="770" t="s">
        <v>32</v>
      </c>
      <c r="C16" s="771"/>
      <c r="D16" s="48"/>
      <c r="E16" s="418" t="s">
        <v>88</v>
      </c>
      <c r="F16" s="765" t="s">
        <v>80</v>
      </c>
    </row>
    <row r="17" spans="2:6" ht="36.75" customHeight="1">
      <c r="B17" s="763"/>
      <c r="C17" s="764"/>
      <c r="D17" s="48"/>
      <c r="E17" s="424" t="s">
        <v>89</v>
      </c>
      <c r="F17" s="766"/>
    </row>
    <row r="18" spans="2:6" ht="45.75" customHeight="1">
      <c r="B18" s="761" t="s">
        <v>33</v>
      </c>
      <c r="C18" s="762"/>
      <c r="D18" s="417"/>
      <c r="E18" s="418" t="s">
        <v>90</v>
      </c>
      <c r="F18" s="765" t="s">
        <v>80</v>
      </c>
    </row>
    <row r="19" spans="2:6" ht="36.75" customHeight="1">
      <c r="B19" s="763"/>
      <c r="C19" s="764"/>
      <c r="D19" s="417"/>
      <c r="E19" s="424" t="s">
        <v>91</v>
      </c>
      <c r="F19" s="766"/>
    </row>
    <row r="20" spans="2:6" ht="28.5">
      <c r="B20" s="761" t="s">
        <v>34</v>
      </c>
      <c r="C20" s="762"/>
      <c r="D20" s="48"/>
      <c r="E20" s="418" t="s">
        <v>92</v>
      </c>
      <c r="F20" s="765" t="s">
        <v>80</v>
      </c>
    </row>
    <row r="21" spans="2:6" ht="31.5" customHeight="1">
      <c r="B21" s="763"/>
      <c r="C21" s="764"/>
      <c r="D21" s="48"/>
      <c r="E21" s="424" t="s">
        <v>93</v>
      </c>
      <c r="F21" s="766"/>
    </row>
    <row r="22" spans="2:6" ht="45" customHeight="1">
      <c r="B22" s="761" t="s">
        <v>35</v>
      </c>
      <c r="C22" s="762"/>
      <c r="D22" s="417"/>
      <c r="E22" s="418" t="s">
        <v>94</v>
      </c>
      <c r="F22" s="765" t="s">
        <v>80</v>
      </c>
    </row>
    <row r="23" spans="2:6" ht="28.5" customHeight="1">
      <c r="B23" s="767"/>
      <c r="C23" s="768"/>
      <c r="D23" s="48"/>
      <c r="E23" s="419" t="s">
        <v>95</v>
      </c>
      <c r="F23" s="765"/>
    </row>
    <row r="24" spans="2:6" ht="12.75">
      <c r="B24" s="423"/>
      <c r="C24" s="423"/>
      <c r="D24" s="250"/>
      <c r="E24" s="423"/>
      <c r="F24" s="423"/>
    </row>
    <row r="25" spans="2:6" ht="42.75">
      <c r="B25" s="770" t="s">
        <v>37</v>
      </c>
      <c r="C25" s="770"/>
      <c r="D25" s="417"/>
      <c r="E25" s="418" t="s">
        <v>96</v>
      </c>
      <c r="F25" s="765" t="s">
        <v>80</v>
      </c>
    </row>
    <row r="26" spans="2:6" ht="36" customHeight="1">
      <c r="B26" s="763"/>
      <c r="C26" s="763"/>
      <c r="D26" s="417"/>
      <c r="E26" s="424" t="s">
        <v>97</v>
      </c>
      <c r="F26" s="766"/>
    </row>
    <row r="27" spans="2:6" ht="33" customHeight="1">
      <c r="B27" s="761" t="s">
        <v>38</v>
      </c>
      <c r="C27" s="761"/>
      <c r="D27" s="417"/>
      <c r="E27" s="418" t="s">
        <v>98</v>
      </c>
      <c r="F27" s="765" t="s">
        <v>80</v>
      </c>
    </row>
    <row r="28" spans="2:6" ht="33.75" customHeight="1">
      <c r="B28" s="763"/>
      <c r="C28" s="763"/>
      <c r="D28" s="417"/>
      <c r="E28" s="424" t="s">
        <v>99</v>
      </c>
      <c r="F28" s="766"/>
    </row>
    <row r="29" spans="2:6" ht="34.5" customHeight="1">
      <c r="B29" s="761" t="s">
        <v>39</v>
      </c>
      <c r="C29" s="761"/>
      <c r="D29" s="417"/>
      <c r="E29" s="418" t="s">
        <v>100</v>
      </c>
      <c r="F29" s="772" t="s">
        <v>80</v>
      </c>
    </row>
    <row r="30" spans="2:6" ht="33.75" customHeight="1">
      <c r="B30" s="767"/>
      <c r="C30" s="767"/>
      <c r="D30" s="417"/>
      <c r="E30" s="421" t="s">
        <v>101</v>
      </c>
      <c r="F30" s="769"/>
    </row>
    <row r="31" spans="2:5" ht="12.75">
      <c r="B31" s="250"/>
      <c r="C31" s="250"/>
      <c r="D31" s="250"/>
      <c r="E31" s="250"/>
    </row>
    <row r="32" spans="2:6" ht="30.75" customHeight="1">
      <c r="B32" s="770" t="s">
        <v>41</v>
      </c>
      <c r="C32" s="771"/>
      <c r="D32" s="48"/>
      <c r="E32" s="418" t="s">
        <v>102</v>
      </c>
      <c r="F32" s="765" t="s">
        <v>80</v>
      </c>
    </row>
    <row r="33" spans="2:6" ht="32.25" customHeight="1">
      <c r="B33" s="763"/>
      <c r="C33" s="764"/>
      <c r="D33" s="48"/>
      <c r="E33" s="424" t="s">
        <v>103</v>
      </c>
      <c r="F33" s="766"/>
    </row>
    <row r="34" spans="2:6" ht="48.75" customHeight="1">
      <c r="B34" s="761" t="s">
        <v>42</v>
      </c>
      <c r="C34" s="762"/>
      <c r="D34" s="417"/>
      <c r="E34" s="418" t="s">
        <v>104</v>
      </c>
      <c r="F34" s="765" t="s">
        <v>80</v>
      </c>
    </row>
    <row r="35" spans="2:6" ht="46.5" customHeight="1">
      <c r="B35" s="767"/>
      <c r="C35" s="768"/>
      <c r="D35" s="48"/>
      <c r="E35" s="419" t="s">
        <v>105</v>
      </c>
      <c r="F35" s="765"/>
    </row>
    <row r="36" spans="2:6" ht="12.75">
      <c r="B36" s="423"/>
      <c r="C36" s="423"/>
      <c r="D36" s="250"/>
      <c r="E36" s="423"/>
      <c r="F36" s="423"/>
    </row>
    <row r="37" spans="2:6" ht="58.5" customHeight="1">
      <c r="B37" s="770" t="s">
        <v>44</v>
      </c>
      <c r="C37" s="771"/>
      <c r="D37" s="48"/>
      <c r="E37" s="418" t="s">
        <v>106</v>
      </c>
      <c r="F37" s="765" t="s">
        <v>80</v>
      </c>
    </row>
    <row r="38" spans="2:6" ht="60.75" customHeight="1">
      <c r="B38" s="763"/>
      <c r="C38" s="764"/>
      <c r="D38" s="48"/>
      <c r="E38" s="424" t="s">
        <v>107</v>
      </c>
      <c r="F38" s="766"/>
    </row>
    <row r="39" spans="2:6" ht="47.25" customHeight="1">
      <c r="B39" s="761" t="s">
        <v>45</v>
      </c>
      <c r="C39" s="762"/>
      <c r="D39" s="417"/>
      <c r="E39" s="418" t="s">
        <v>108</v>
      </c>
      <c r="F39" s="772" t="s">
        <v>80</v>
      </c>
    </row>
    <row r="40" spans="2:6" ht="47.25" customHeight="1">
      <c r="B40" s="767"/>
      <c r="C40" s="768"/>
      <c r="D40" s="48"/>
      <c r="E40" s="421" t="s">
        <v>109</v>
      </c>
      <c r="F40" s="769"/>
    </row>
    <row r="41" spans="2:6" ht="12.75">
      <c r="B41" s="250"/>
      <c r="D41" s="250"/>
      <c r="F41" s="250"/>
    </row>
    <row r="42" spans="2:6" ht="42.75">
      <c r="B42" s="770" t="s">
        <v>48</v>
      </c>
      <c r="C42" s="771"/>
      <c r="D42" s="48"/>
      <c r="E42" s="418" t="s">
        <v>110</v>
      </c>
      <c r="F42" s="765" t="s">
        <v>80</v>
      </c>
    </row>
    <row r="43" spans="2:6" ht="42.75">
      <c r="B43" s="763"/>
      <c r="C43" s="764"/>
      <c r="D43" s="417"/>
      <c r="E43" s="424" t="s">
        <v>111</v>
      </c>
      <c r="F43" s="766"/>
    </row>
    <row r="44" spans="2:6" ht="48" customHeight="1">
      <c r="B44" s="761" t="s">
        <v>49</v>
      </c>
      <c r="C44" s="762"/>
      <c r="D44" s="48"/>
      <c r="E44" s="418" t="s">
        <v>112</v>
      </c>
      <c r="F44" s="765" t="s">
        <v>80</v>
      </c>
    </row>
    <row r="45" spans="2:6" ht="34.5" customHeight="1">
      <c r="B45" s="770"/>
      <c r="C45" s="771"/>
      <c r="D45" s="417"/>
      <c r="E45" s="419" t="s">
        <v>113</v>
      </c>
      <c r="F45" s="765"/>
    </row>
    <row r="46" spans="2:6" ht="44.25" customHeight="1">
      <c r="B46" s="761" t="s">
        <v>50</v>
      </c>
      <c r="C46" s="762"/>
      <c r="D46" s="48"/>
      <c r="E46" s="420" t="s">
        <v>114</v>
      </c>
      <c r="F46" s="772" t="s">
        <v>80</v>
      </c>
    </row>
    <row r="47" spans="2:6" ht="33.75" customHeight="1">
      <c r="B47" s="763"/>
      <c r="C47" s="764"/>
      <c r="D47" s="48"/>
      <c r="E47" s="424" t="s">
        <v>115</v>
      </c>
      <c r="F47" s="766"/>
    </row>
    <row r="48" spans="2:6" ht="45.75" customHeight="1">
      <c r="B48" s="761" t="s">
        <v>51</v>
      </c>
      <c r="C48" s="762"/>
      <c r="D48" s="417"/>
      <c r="E48" s="418" t="s">
        <v>116</v>
      </c>
      <c r="F48" s="765" t="s">
        <v>80</v>
      </c>
    </row>
    <row r="49" spans="2:6" ht="35.25" customHeight="1">
      <c r="B49" s="770"/>
      <c r="C49" s="771"/>
      <c r="D49" s="48"/>
      <c r="E49" s="419" t="s">
        <v>113</v>
      </c>
      <c r="F49" s="765"/>
    </row>
    <row r="50" spans="2:6" ht="12.75">
      <c r="B50" s="423"/>
      <c r="C50" s="423"/>
      <c r="D50" s="250"/>
      <c r="E50" s="423"/>
      <c r="F50" s="423"/>
    </row>
    <row r="51" spans="2:6" ht="42" customHeight="1">
      <c r="B51" s="770" t="s">
        <v>52</v>
      </c>
      <c r="C51" s="771"/>
      <c r="D51" s="48"/>
      <c r="E51" s="418" t="s">
        <v>117</v>
      </c>
      <c r="F51" s="765" t="s">
        <v>80</v>
      </c>
    </row>
    <row r="52" spans="2:6" ht="33" customHeight="1">
      <c r="B52" s="763"/>
      <c r="C52" s="764"/>
      <c r="D52" s="48"/>
      <c r="E52" s="424" t="s">
        <v>118</v>
      </c>
      <c r="F52" s="766"/>
    </row>
    <row r="53" spans="2:6" ht="60" customHeight="1">
      <c r="B53" s="761" t="s">
        <v>54</v>
      </c>
      <c r="C53" s="762"/>
      <c r="D53" s="48"/>
      <c r="E53" s="418" t="s">
        <v>119</v>
      </c>
      <c r="F53" s="772" t="s">
        <v>80</v>
      </c>
    </row>
    <row r="54" spans="2:6" ht="48.75" customHeight="1">
      <c r="B54" s="770"/>
      <c r="C54" s="771"/>
      <c r="D54" s="48"/>
      <c r="E54" s="419" t="s">
        <v>120</v>
      </c>
      <c r="F54" s="766"/>
    </row>
    <row r="55" spans="2:6" ht="32.25" customHeight="1">
      <c r="B55" s="761" t="s">
        <v>55</v>
      </c>
      <c r="C55" s="762"/>
      <c r="D55" s="48"/>
      <c r="E55" s="420" t="s">
        <v>121</v>
      </c>
      <c r="F55" s="765" t="s">
        <v>80</v>
      </c>
    </row>
    <row r="56" spans="2:6" ht="34.5" customHeight="1">
      <c r="B56" s="763"/>
      <c r="C56" s="764"/>
      <c r="D56" s="48"/>
      <c r="E56" s="424" t="s">
        <v>122</v>
      </c>
      <c r="F56" s="766"/>
    </row>
    <row r="57" spans="2:6" ht="60" customHeight="1">
      <c r="B57" s="761" t="s">
        <v>56</v>
      </c>
      <c r="C57" s="762"/>
      <c r="D57" s="48"/>
      <c r="E57" s="418" t="s">
        <v>123</v>
      </c>
      <c r="F57" s="765" t="s">
        <v>80</v>
      </c>
    </row>
    <row r="58" spans="2:6" ht="48" customHeight="1">
      <c r="B58" s="767"/>
      <c r="C58" s="768"/>
      <c r="D58" s="48"/>
      <c r="E58" s="421" t="s">
        <v>124</v>
      </c>
      <c r="F58" s="769"/>
    </row>
  </sheetData>
  <sheetProtection sheet="1" objects="1" scenarios="1"/>
  <mergeCells count="48">
    <mergeCell ref="B2:C4"/>
    <mergeCell ref="E2:F4"/>
    <mergeCell ref="B6:C7"/>
    <mergeCell ref="F6:F7"/>
    <mergeCell ref="B8:C9"/>
    <mergeCell ref="F8:F9"/>
    <mergeCell ref="B11:C12"/>
    <mergeCell ref="F11:F12"/>
    <mergeCell ref="B13:C14"/>
    <mergeCell ref="F13:F14"/>
    <mergeCell ref="B16:C17"/>
    <mergeCell ref="F16:F17"/>
    <mergeCell ref="B18:C19"/>
    <mergeCell ref="F18:F19"/>
    <mergeCell ref="B20:C21"/>
    <mergeCell ref="F20:F21"/>
    <mergeCell ref="B22:C23"/>
    <mergeCell ref="F22:F23"/>
    <mergeCell ref="B25:C26"/>
    <mergeCell ref="F25:F26"/>
    <mergeCell ref="B27:C28"/>
    <mergeCell ref="F27:F28"/>
    <mergeCell ref="B29:C30"/>
    <mergeCell ref="F29:F30"/>
    <mergeCell ref="B32:C33"/>
    <mergeCell ref="F32:F33"/>
    <mergeCell ref="B34:C35"/>
    <mergeCell ref="F34:F35"/>
    <mergeCell ref="B37:C38"/>
    <mergeCell ref="F37:F38"/>
    <mergeCell ref="B39:C40"/>
    <mergeCell ref="F39:F40"/>
    <mergeCell ref="B42:C43"/>
    <mergeCell ref="F42:F43"/>
    <mergeCell ref="B44:C45"/>
    <mergeCell ref="F44:F45"/>
    <mergeCell ref="B46:C47"/>
    <mergeCell ref="F46:F47"/>
    <mergeCell ref="B48:C49"/>
    <mergeCell ref="F48:F49"/>
    <mergeCell ref="B51:C52"/>
    <mergeCell ref="F51:F52"/>
    <mergeCell ref="B53:C54"/>
    <mergeCell ref="F53:F54"/>
    <mergeCell ref="B55:C56"/>
    <mergeCell ref="F55:F56"/>
    <mergeCell ref="B57:C58"/>
    <mergeCell ref="F57:F58"/>
  </mergeCells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2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414" customWidth="1"/>
    <col min="2" max="16384" width="9.140625" style="414" customWidth="1"/>
  </cols>
  <sheetData>
    <row r="1" ht="15" customHeight="1" thickBot="1"/>
    <row r="2" spans="2:17" ht="24.75" customHeight="1">
      <c r="B2" s="466" t="s">
        <v>125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25"/>
    </row>
    <row r="3" ht="15" customHeight="1"/>
  </sheetData>
  <sheetProtection sheet="1" objects="1" scenarios="1"/>
  <mergeCells count="1">
    <mergeCell ref="B2:P2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R38"/>
  <sheetViews>
    <sheetView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2.7109375" style="250" customWidth="1"/>
    <col min="2" max="2" width="149.28125" style="250" customWidth="1"/>
    <col min="3" max="16384" width="9.140625" style="250" customWidth="1"/>
  </cols>
  <sheetData>
    <row r="1" spans="1:2" ht="9.75" customHeight="1" thickBot="1">
      <c r="A1" s="242"/>
      <c r="B1" s="242"/>
    </row>
    <row r="2" spans="1:18" ht="26.25" customHeight="1">
      <c r="A2" s="242"/>
      <c r="B2" s="254" t="s">
        <v>299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7" ht="9.75" customHeight="1" thickBot="1">
      <c r="A3" s="242"/>
      <c r="B3" s="243"/>
      <c r="C3" s="251"/>
      <c r="D3" s="251"/>
      <c r="E3" s="251"/>
      <c r="F3" s="251"/>
      <c r="G3" s="251"/>
    </row>
    <row r="4" spans="1:2" ht="38.25" customHeight="1">
      <c r="A4" s="242"/>
      <c r="B4" s="244" t="s">
        <v>300</v>
      </c>
    </row>
    <row r="5" spans="1:2" ht="9.75" customHeight="1">
      <c r="A5" s="242"/>
      <c r="B5" s="245"/>
    </row>
    <row r="6" spans="1:2" s="252" customFormat="1" ht="30" customHeight="1">
      <c r="A6" s="242"/>
      <c r="B6" s="246" t="s">
        <v>301</v>
      </c>
    </row>
    <row r="7" spans="1:2" s="252" customFormat="1" ht="30" customHeight="1">
      <c r="A7" s="242"/>
      <c r="B7" s="246" t="s">
        <v>302</v>
      </c>
    </row>
    <row r="8" spans="1:2" s="252" customFormat="1" ht="30" customHeight="1">
      <c r="A8" s="242"/>
      <c r="B8" s="246" t="s">
        <v>303</v>
      </c>
    </row>
    <row r="9" spans="1:2" s="252" customFormat="1" ht="30" customHeight="1">
      <c r="A9" s="246"/>
      <c r="B9" s="246" t="s">
        <v>304</v>
      </c>
    </row>
    <row r="10" spans="1:2" s="252" customFormat="1" ht="30" customHeight="1">
      <c r="A10" s="246"/>
      <c r="B10" s="246" t="s">
        <v>305</v>
      </c>
    </row>
    <row r="11" spans="1:2" s="252" customFormat="1" ht="30" customHeight="1">
      <c r="A11" s="246"/>
      <c r="B11" s="246" t="s">
        <v>308</v>
      </c>
    </row>
    <row r="12" spans="1:2" s="252" customFormat="1" ht="30" customHeight="1">
      <c r="A12" s="246"/>
      <c r="B12" s="246" t="s">
        <v>309</v>
      </c>
    </row>
    <row r="13" spans="1:2" s="252" customFormat="1" ht="9.75" customHeight="1">
      <c r="A13" s="246"/>
      <c r="B13" s="246"/>
    </row>
    <row r="14" spans="1:2" s="252" customFormat="1" ht="34.5" customHeight="1">
      <c r="A14" s="246"/>
      <c r="B14" s="247" t="s">
        <v>310</v>
      </c>
    </row>
    <row r="15" spans="1:2" s="252" customFormat="1" ht="30" customHeight="1">
      <c r="A15" s="246"/>
      <c r="B15" s="246" t="s">
        <v>311</v>
      </c>
    </row>
    <row r="16" spans="1:2" s="252" customFormat="1" ht="30" customHeight="1">
      <c r="A16" s="246"/>
      <c r="B16" s="246" t="s">
        <v>312</v>
      </c>
    </row>
    <row r="17" spans="1:2" s="252" customFormat="1" ht="30" customHeight="1">
      <c r="A17" s="246"/>
      <c r="B17" s="246" t="s">
        <v>313</v>
      </c>
    </row>
    <row r="18" spans="1:2" s="252" customFormat="1" ht="30" customHeight="1">
      <c r="A18" s="246"/>
      <c r="B18" s="246" t="s">
        <v>314</v>
      </c>
    </row>
    <row r="19" spans="1:2" s="252" customFormat="1" ht="9.75" customHeight="1">
      <c r="A19" s="246"/>
      <c r="B19" s="246"/>
    </row>
    <row r="20" spans="1:2" s="252" customFormat="1" ht="24.75" customHeight="1">
      <c r="A20" s="246"/>
      <c r="B20" s="247" t="s">
        <v>315</v>
      </c>
    </row>
    <row r="21" spans="1:2" s="252" customFormat="1" ht="30" customHeight="1">
      <c r="A21" s="246"/>
      <c r="B21" s="246" t="s">
        <v>316</v>
      </c>
    </row>
    <row r="22" spans="1:2" s="252" customFormat="1" ht="30" customHeight="1">
      <c r="A22" s="246"/>
      <c r="B22" s="246" t="s">
        <v>317</v>
      </c>
    </row>
    <row r="23" spans="1:2" s="252" customFormat="1" ht="30" customHeight="1">
      <c r="A23" s="246"/>
      <c r="B23" s="246" t="s">
        <v>318</v>
      </c>
    </row>
    <row r="24" spans="1:2" s="252" customFormat="1" ht="30" customHeight="1">
      <c r="A24" s="246"/>
      <c r="B24" s="246" t="s">
        <v>319</v>
      </c>
    </row>
    <row r="25" spans="1:2" s="252" customFormat="1" ht="9.75" customHeight="1">
      <c r="A25" s="246"/>
      <c r="B25" s="246"/>
    </row>
    <row r="26" spans="1:2" s="252" customFormat="1" ht="30" customHeight="1">
      <c r="A26" s="246"/>
      <c r="B26" s="247" t="s">
        <v>320</v>
      </c>
    </row>
    <row r="27" spans="1:2" s="252" customFormat="1" ht="36.75" customHeight="1">
      <c r="A27" s="246"/>
      <c r="B27" s="246" t="s">
        <v>321</v>
      </c>
    </row>
    <row r="28" spans="1:2" ht="24.75" customHeight="1">
      <c r="A28" s="246"/>
      <c r="B28" s="246" t="s">
        <v>322</v>
      </c>
    </row>
    <row r="29" spans="1:2" ht="46.5" customHeight="1">
      <c r="A29" s="246"/>
      <c r="B29" s="248" t="s">
        <v>323</v>
      </c>
    </row>
    <row r="30" spans="1:2" ht="133.5" customHeight="1">
      <c r="A30" s="246"/>
      <c r="B30" s="249" t="s">
        <v>324</v>
      </c>
    </row>
    <row r="31" spans="1:2" ht="9.75" customHeight="1">
      <c r="A31" s="246"/>
      <c r="B31" s="249"/>
    </row>
    <row r="32" spans="1:2" ht="30" customHeight="1">
      <c r="A32" s="242"/>
      <c r="B32" s="247" t="s">
        <v>165</v>
      </c>
    </row>
    <row r="33" spans="1:2" ht="34.5" customHeight="1">
      <c r="A33" s="242"/>
      <c r="B33" s="246" t="s">
        <v>325</v>
      </c>
    </row>
    <row r="34" spans="1:2" ht="42.75" customHeight="1">
      <c r="A34" s="242"/>
      <c r="B34" s="246" t="s">
        <v>326</v>
      </c>
    </row>
    <row r="35" spans="1:2" ht="33.75" customHeight="1">
      <c r="A35" s="242"/>
      <c r="B35" s="246" t="s">
        <v>327</v>
      </c>
    </row>
    <row r="36" spans="1:2" ht="40.5" customHeight="1">
      <c r="A36" s="242"/>
      <c r="B36" s="246" t="s">
        <v>328</v>
      </c>
    </row>
    <row r="37" spans="1:2" ht="30.75" customHeight="1">
      <c r="A37" s="242"/>
      <c r="B37" s="246" t="s">
        <v>329</v>
      </c>
    </row>
    <row r="38" spans="1:2" ht="42" customHeight="1">
      <c r="A38" s="242"/>
      <c r="B38" s="246" t="s">
        <v>330</v>
      </c>
    </row>
    <row r="39" ht="24.75" customHeight="1"/>
    <row r="40" ht="24.75" customHeight="1"/>
    <row r="41" ht="24.75" customHeight="1"/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outlinePr summaryBelow="0" summaryRight="0"/>
  </sheetPr>
  <dimension ref="B2:M52"/>
  <sheetViews>
    <sheetView zoomScale="90" zoomScaleNormal="90" zoomScaleSheetLayoutView="85" workbookViewId="0" topLeftCell="A1">
      <selection activeCell="A1" sqref="A1"/>
    </sheetView>
  </sheetViews>
  <sheetFormatPr defaultColWidth="9.140625" defaultRowHeight="12.75"/>
  <cols>
    <col min="1" max="1" width="10.7109375" style="255" customWidth="1"/>
    <col min="2" max="2" width="5.28125" style="255" customWidth="1"/>
    <col min="3" max="3" width="28.7109375" style="255" customWidth="1"/>
    <col min="4" max="4" width="12.7109375" style="255" customWidth="1"/>
    <col min="5" max="6" width="18.7109375" style="255" customWidth="1"/>
    <col min="7" max="8" width="12.7109375" style="255" customWidth="1"/>
    <col min="9" max="9" width="2.7109375" style="255" customWidth="1"/>
    <col min="10" max="13" width="9.140625" style="256" customWidth="1"/>
    <col min="14" max="16384" width="9.140625" style="255" customWidth="1"/>
  </cols>
  <sheetData>
    <row r="1" ht="15" customHeight="1" thickBot="1"/>
    <row r="2" spans="2:10" ht="34.5" customHeight="1">
      <c r="B2" s="508" t="s">
        <v>577</v>
      </c>
      <c r="C2" s="509"/>
      <c r="D2" s="509"/>
      <c r="E2" s="509"/>
      <c r="F2" s="509"/>
      <c r="G2" s="509"/>
      <c r="H2" s="510"/>
      <c r="I2" s="257"/>
      <c r="J2" s="258"/>
    </row>
    <row r="3" spans="2:13" s="259" customFormat="1" ht="15" customHeight="1" thickBot="1">
      <c r="B3" s="488"/>
      <c r="C3" s="488"/>
      <c r="D3" s="488"/>
      <c r="E3" s="488"/>
      <c r="F3" s="488"/>
      <c r="G3" s="488"/>
      <c r="H3" s="488"/>
      <c r="I3" s="257"/>
      <c r="J3" s="258"/>
      <c r="K3" s="172"/>
      <c r="L3" s="172"/>
      <c r="M3" s="172"/>
    </row>
    <row r="4" spans="2:13" ht="29.25" customHeight="1">
      <c r="B4" s="489" t="s">
        <v>504</v>
      </c>
      <c r="C4" s="490"/>
      <c r="D4" s="490"/>
      <c r="E4" s="240" t="s">
        <v>579</v>
      </c>
      <c r="F4" s="240" t="s">
        <v>580</v>
      </c>
      <c r="G4" s="240" t="s">
        <v>525</v>
      </c>
      <c r="H4" s="260" t="s">
        <v>505</v>
      </c>
      <c r="J4" s="255"/>
      <c r="K4" s="255"/>
      <c r="L4" s="255"/>
      <c r="M4" s="255"/>
    </row>
    <row r="5" spans="2:8" s="259" customFormat="1" ht="9.75" customHeight="1" thickBot="1">
      <c r="B5" s="231"/>
      <c r="C5" s="231"/>
      <c r="D5" s="231"/>
      <c r="E5" s="231"/>
      <c r="F5" s="231"/>
      <c r="G5" s="231"/>
      <c r="H5" s="231"/>
    </row>
    <row r="6" spans="2:13" ht="19.5" customHeight="1">
      <c r="B6" s="483" t="s">
        <v>358</v>
      </c>
      <c r="C6" s="492" t="s">
        <v>506</v>
      </c>
      <c r="D6" s="493"/>
      <c r="E6" s="21"/>
      <c r="F6" s="23"/>
      <c r="G6" s="261">
        <f>SUM(E6:F6)</f>
        <v>0</v>
      </c>
      <c r="H6" s="262" t="e">
        <f aca="true" t="shared" si="0" ref="H6:H31">G6*100/G$33</f>
        <v>#DIV/0!</v>
      </c>
      <c r="J6" s="255"/>
      <c r="K6" s="255"/>
      <c r="L6" s="255"/>
      <c r="M6" s="255"/>
    </row>
    <row r="7" spans="2:13" ht="19.5" customHeight="1">
      <c r="B7" s="484"/>
      <c r="C7" s="505" t="s">
        <v>507</v>
      </c>
      <c r="D7" s="494"/>
      <c r="E7" s="22"/>
      <c r="F7" s="24"/>
      <c r="G7" s="263">
        <f aca="true" t="shared" si="1" ref="G7:G30">SUM(E7:F7)</f>
        <v>0</v>
      </c>
      <c r="H7" s="264" t="e">
        <f t="shared" si="0"/>
        <v>#DIV/0!</v>
      </c>
      <c r="J7" s="255"/>
      <c r="K7" s="255"/>
      <c r="L7" s="255"/>
      <c r="M7" s="255"/>
    </row>
    <row r="8" spans="2:13" ht="19.5" customHeight="1">
      <c r="B8" s="484"/>
      <c r="C8" s="505" t="s">
        <v>508</v>
      </c>
      <c r="D8" s="494"/>
      <c r="E8" s="22"/>
      <c r="F8" s="24"/>
      <c r="G8" s="263">
        <f t="shared" si="1"/>
        <v>0</v>
      </c>
      <c r="H8" s="264" t="e">
        <f t="shared" si="0"/>
        <v>#DIV/0!</v>
      </c>
      <c r="J8" s="255"/>
      <c r="K8" s="255"/>
      <c r="L8" s="255"/>
      <c r="M8" s="255"/>
    </row>
    <row r="9" spans="2:13" ht="19.5" customHeight="1">
      <c r="B9" s="484"/>
      <c r="C9" s="505" t="s">
        <v>509</v>
      </c>
      <c r="D9" s="494"/>
      <c r="E9" s="25"/>
      <c r="F9" s="26"/>
      <c r="G9" s="263">
        <f t="shared" si="1"/>
        <v>0</v>
      </c>
      <c r="H9" s="264" t="e">
        <f t="shared" si="0"/>
        <v>#DIV/0!</v>
      </c>
      <c r="J9" s="255"/>
      <c r="K9" s="255"/>
      <c r="L9" s="255"/>
      <c r="M9" s="255"/>
    </row>
    <row r="10" spans="2:13" ht="19.5" customHeight="1">
      <c r="B10" s="485"/>
      <c r="C10" s="467" t="s">
        <v>474</v>
      </c>
      <c r="D10" s="467"/>
      <c r="E10" s="95">
        <f>SUM(E6:E9)</f>
        <v>0</v>
      </c>
      <c r="F10" s="95">
        <f>SUM(F6:F9)</f>
        <v>0</v>
      </c>
      <c r="G10" s="265">
        <f>SUM(G6:G9)</f>
        <v>0</v>
      </c>
      <c r="H10" s="266" t="e">
        <f t="shared" si="0"/>
        <v>#DIV/0!</v>
      </c>
      <c r="J10" s="255"/>
      <c r="K10" s="255"/>
      <c r="L10" s="255"/>
      <c r="M10" s="255"/>
    </row>
    <row r="11" spans="2:8" s="259" customFormat="1" ht="9.75" customHeight="1" thickBot="1">
      <c r="B11" s="267"/>
      <c r="C11" s="231"/>
      <c r="D11" s="231"/>
      <c r="E11" s="231"/>
      <c r="F11" s="231"/>
      <c r="G11" s="268"/>
      <c r="H11" s="269"/>
    </row>
    <row r="12" spans="2:13" ht="19.5" customHeight="1">
      <c r="B12" s="468" t="s">
        <v>167</v>
      </c>
      <c r="C12" s="492" t="s">
        <v>510</v>
      </c>
      <c r="D12" s="493"/>
      <c r="E12" s="21"/>
      <c r="F12" s="23"/>
      <c r="G12" s="261">
        <f t="shared" si="1"/>
        <v>0</v>
      </c>
      <c r="H12" s="262" t="e">
        <f t="shared" si="0"/>
        <v>#DIV/0!</v>
      </c>
      <c r="J12" s="255"/>
      <c r="K12" s="255"/>
      <c r="L12" s="255"/>
      <c r="M12" s="255"/>
    </row>
    <row r="13" spans="2:13" ht="19.5" customHeight="1">
      <c r="B13" s="469"/>
      <c r="C13" s="505" t="s">
        <v>511</v>
      </c>
      <c r="D13" s="494"/>
      <c r="E13" s="25"/>
      <c r="F13" s="26"/>
      <c r="G13" s="263">
        <f t="shared" si="1"/>
        <v>0</v>
      </c>
      <c r="H13" s="264" t="e">
        <f t="shared" si="0"/>
        <v>#DIV/0!</v>
      </c>
      <c r="J13" s="255"/>
      <c r="K13" s="255"/>
      <c r="L13" s="255"/>
      <c r="M13" s="255"/>
    </row>
    <row r="14" spans="2:13" ht="19.5" customHeight="1">
      <c r="B14" s="470"/>
      <c r="C14" s="467" t="s">
        <v>475</v>
      </c>
      <c r="D14" s="467"/>
      <c r="E14" s="95">
        <f>SUM(E12:E13)</f>
        <v>0</v>
      </c>
      <c r="F14" s="95">
        <f>SUM(F12:F13)</f>
        <v>0</v>
      </c>
      <c r="G14" s="265">
        <f>SUM(G12:G13)</f>
        <v>0</v>
      </c>
      <c r="H14" s="266" t="e">
        <f t="shared" si="0"/>
        <v>#DIV/0!</v>
      </c>
      <c r="J14" s="255"/>
      <c r="K14" s="255"/>
      <c r="L14" s="255"/>
      <c r="M14" s="255"/>
    </row>
    <row r="15" spans="2:8" s="259" customFormat="1" ht="9.75" customHeight="1" thickBot="1">
      <c r="B15" s="270"/>
      <c r="C15" s="231"/>
      <c r="D15" s="231"/>
      <c r="E15" s="231"/>
      <c r="F15" s="231"/>
      <c r="G15" s="268"/>
      <c r="H15" s="269"/>
    </row>
    <row r="16" spans="2:13" ht="19.5" customHeight="1">
      <c r="B16" s="483" t="s">
        <v>168</v>
      </c>
      <c r="C16" s="492" t="s">
        <v>512</v>
      </c>
      <c r="D16" s="493"/>
      <c r="E16" s="21"/>
      <c r="F16" s="23"/>
      <c r="G16" s="261">
        <f t="shared" si="1"/>
        <v>0</v>
      </c>
      <c r="H16" s="262" t="e">
        <f t="shared" si="0"/>
        <v>#DIV/0!</v>
      </c>
      <c r="I16" s="271"/>
      <c r="J16" s="255"/>
      <c r="K16" s="255"/>
      <c r="L16" s="255"/>
      <c r="M16" s="255"/>
    </row>
    <row r="17" spans="2:13" ht="19.5" customHeight="1">
      <c r="B17" s="484"/>
      <c r="C17" s="505" t="s">
        <v>513</v>
      </c>
      <c r="D17" s="494"/>
      <c r="E17" s="22"/>
      <c r="F17" s="24"/>
      <c r="G17" s="263">
        <f t="shared" si="1"/>
        <v>0</v>
      </c>
      <c r="H17" s="264" t="e">
        <f t="shared" si="0"/>
        <v>#DIV/0!</v>
      </c>
      <c r="J17" s="255"/>
      <c r="K17" s="255"/>
      <c r="L17" s="255"/>
      <c r="M17" s="255"/>
    </row>
    <row r="18" spans="2:13" ht="19.5" customHeight="1">
      <c r="B18" s="484"/>
      <c r="C18" s="505" t="s">
        <v>514</v>
      </c>
      <c r="D18" s="494"/>
      <c r="E18" s="22"/>
      <c r="F18" s="24"/>
      <c r="G18" s="263">
        <f t="shared" si="1"/>
        <v>0</v>
      </c>
      <c r="H18" s="264" t="e">
        <f t="shared" si="0"/>
        <v>#DIV/0!</v>
      </c>
      <c r="I18" s="271"/>
      <c r="J18" s="255"/>
      <c r="K18" s="255"/>
      <c r="L18" s="255"/>
      <c r="M18" s="255"/>
    </row>
    <row r="19" spans="2:13" ht="19.5" customHeight="1">
      <c r="B19" s="484"/>
      <c r="C19" s="505" t="s">
        <v>515</v>
      </c>
      <c r="D19" s="494"/>
      <c r="E19" s="22"/>
      <c r="F19" s="24"/>
      <c r="G19" s="263">
        <f t="shared" si="1"/>
        <v>0</v>
      </c>
      <c r="H19" s="264" t="e">
        <f t="shared" si="0"/>
        <v>#DIV/0!</v>
      </c>
      <c r="J19" s="255"/>
      <c r="K19" s="255"/>
      <c r="L19" s="255"/>
      <c r="M19" s="255"/>
    </row>
    <row r="20" spans="2:13" ht="19.5" customHeight="1">
      <c r="B20" s="484"/>
      <c r="C20" s="505" t="s">
        <v>516</v>
      </c>
      <c r="D20" s="494"/>
      <c r="E20" s="22"/>
      <c r="F20" s="24"/>
      <c r="G20" s="263">
        <f t="shared" si="1"/>
        <v>0</v>
      </c>
      <c r="H20" s="264" t="e">
        <f t="shared" si="0"/>
        <v>#DIV/0!</v>
      </c>
      <c r="I20" s="271"/>
      <c r="J20" s="255"/>
      <c r="K20" s="255"/>
      <c r="L20" s="255"/>
      <c r="M20" s="255"/>
    </row>
    <row r="21" spans="2:13" ht="19.5" customHeight="1">
      <c r="B21" s="484"/>
      <c r="C21" s="505" t="s">
        <v>517</v>
      </c>
      <c r="D21" s="494"/>
      <c r="E21" s="22"/>
      <c r="F21" s="24"/>
      <c r="G21" s="263">
        <f t="shared" si="1"/>
        <v>0</v>
      </c>
      <c r="H21" s="264" t="e">
        <f t="shared" si="0"/>
        <v>#DIV/0!</v>
      </c>
      <c r="J21" s="255"/>
      <c r="K21" s="255"/>
      <c r="L21" s="255"/>
      <c r="M21" s="255"/>
    </row>
    <row r="22" spans="2:11" ht="19.5" customHeight="1">
      <c r="B22" s="484"/>
      <c r="C22" s="505" t="s">
        <v>518</v>
      </c>
      <c r="D22" s="494"/>
      <c r="E22" s="22"/>
      <c r="F22" s="24"/>
      <c r="G22" s="263">
        <f t="shared" si="1"/>
        <v>0</v>
      </c>
      <c r="H22" s="264" t="e">
        <f t="shared" si="0"/>
        <v>#DIV/0!</v>
      </c>
      <c r="I22" s="271"/>
      <c r="J22" s="272"/>
      <c r="K22" s="272"/>
    </row>
    <row r="23" spans="2:11" ht="19.5" customHeight="1">
      <c r="B23" s="484"/>
      <c r="C23" s="505" t="s">
        <v>519</v>
      </c>
      <c r="D23" s="494"/>
      <c r="E23" s="25"/>
      <c r="F23" s="26"/>
      <c r="G23" s="263">
        <f t="shared" si="1"/>
        <v>0</v>
      </c>
      <c r="H23" s="264" t="e">
        <f t="shared" si="0"/>
        <v>#DIV/0!</v>
      </c>
      <c r="J23" s="272"/>
      <c r="K23" s="272"/>
    </row>
    <row r="24" spans="2:11" ht="19.5" customHeight="1">
      <c r="B24" s="485"/>
      <c r="C24" s="467" t="s">
        <v>476</v>
      </c>
      <c r="D24" s="467"/>
      <c r="E24" s="95">
        <f>SUM(E16:E23)</f>
        <v>0</v>
      </c>
      <c r="F24" s="95">
        <f>SUM(F16:F23)</f>
        <v>0</v>
      </c>
      <c r="G24" s="265">
        <f>SUM(G16:G23)</f>
        <v>0</v>
      </c>
      <c r="H24" s="266" t="e">
        <f t="shared" si="0"/>
        <v>#DIV/0!</v>
      </c>
      <c r="I24" s="271"/>
      <c r="J24" s="272"/>
      <c r="K24" s="272"/>
    </row>
    <row r="25" spans="2:13" s="259" customFormat="1" ht="9.75" customHeight="1" thickBot="1">
      <c r="B25" s="267"/>
      <c r="C25" s="231"/>
      <c r="D25" s="231"/>
      <c r="E25" s="231"/>
      <c r="F25" s="231"/>
      <c r="G25" s="268"/>
      <c r="H25" s="269"/>
      <c r="I25" s="273"/>
      <c r="J25" s="274"/>
      <c r="K25" s="274"/>
      <c r="L25" s="172"/>
      <c r="M25" s="172"/>
    </row>
    <row r="26" spans="2:11" ht="19.5" customHeight="1">
      <c r="B26" s="483" t="s">
        <v>366</v>
      </c>
      <c r="C26" s="492" t="s">
        <v>520</v>
      </c>
      <c r="D26" s="493"/>
      <c r="E26" s="21"/>
      <c r="F26" s="23"/>
      <c r="G26" s="261">
        <f t="shared" si="1"/>
        <v>0</v>
      </c>
      <c r="H26" s="262" t="e">
        <f t="shared" si="0"/>
        <v>#DIV/0!</v>
      </c>
      <c r="J26" s="272"/>
      <c r="K26" s="272"/>
    </row>
    <row r="27" spans="2:11" ht="19.5" customHeight="1">
      <c r="B27" s="484"/>
      <c r="C27" s="505" t="s">
        <v>521</v>
      </c>
      <c r="D27" s="494"/>
      <c r="E27" s="22"/>
      <c r="F27" s="24"/>
      <c r="G27" s="263">
        <f t="shared" si="1"/>
        <v>0</v>
      </c>
      <c r="H27" s="264" t="e">
        <f t="shared" si="0"/>
        <v>#DIV/0!</v>
      </c>
      <c r="J27" s="272"/>
      <c r="K27" s="272"/>
    </row>
    <row r="28" spans="2:11" ht="19.5" customHeight="1">
      <c r="B28" s="484"/>
      <c r="C28" s="505" t="s">
        <v>522</v>
      </c>
      <c r="D28" s="494"/>
      <c r="E28" s="22"/>
      <c r="F28" s="24"/>
      <c r="G28" s="263">
        <f t="shared" si="1"/>
        <v>0</v>
      </c>
      <c r="H28" s="264" t="e">
        <f t="shared" si="0"/>
        <v>#DIV/0!</v>
      </c>
      <c r="J28" s="272"/>
      <c r="K28" s="272"/>
    </row>
    <row r="29" spans="2:11" ht="19.5" customHeight="1">
      <c r="B29" s="484"/>
      <c r="C29" s="505" t="s">
        <v>523</v>
      </c>
      <c r="D29" s="494"/>
      <c r="E29" s="22"/>
      <c r="F29" s="24"/>
      <c r="G29" s="263">
        <f t="shared" si="1"/>
        <v>0</v>
      </c>
      <c r="H29" s="264" t="e">
        <f t="shared" si="0"/>
        <v>#DIV/0!</v>
      </c>
      <c r="J29" s="272"/>
      <c r="K29" s="272"/>
    </row>
    <row r="30" spans="2:11" ht="19.5" customHeight="1">
      <c r="B30" s="484"/>
      <c r="C30" s="505" t="s">
        <v>524</v>
      </c>
      <c r="D30" s="494"/>
      <c r="E30" s="25"/>
      <c r="F30" s="26"/>
      <c r="G30" s="263">
        <f t="shared" si="1"/>
        <v>0</v>
      </c>
      <c r="H30" s="264" t="e">
        <f t="shared" si="0"/>
        <v>#DIV/0!</v>
      </c>
      <c r="J30" s="272"/>
      <c r="K30" s="272"/>
    </row>
    <row r="31" spans="2:11" ht="19.5" customHeight="1">
      <c r="B31" s="485"/>
      <c r="C31" s="467" t="s">
        <v>477</v>
      </c>
      <c r="D31" s="467"/>
      <c r="E31" s="95">
        <f>SUM(E26:E30)</f>
        <v>0</v>
      </c>
      <c r="F31" s="96">
        <f>SUM(F26:F30)</f>
        <v>0</v>
      </c>
      <c r="G31" s="265">
        <f>SUM(G26:G30)</f>
        <v>0</v>
      </c>
      <c r="H31" s="266" t="e">
        <f t="shared" si="0"/>
        <v>#DIV/0!</v>
      </c>
      <c r="J31" s="272"/>
      <c r="K31" s="272"/>
    </row>
    <row r="32" spans="2:13" s="259" customFormat="1" ht="9.75" customHeight="1">
      <c r="B32" s="267"/>
      <c r="C32" s="231"/>
      <c r="D32" s="231"/>
      <c r="E32" s="150"/>
      <c r="F32" s="275"/>
      <c r="G32" s="275"/>
      <c r="H32" s="276"/>
      <c r="J32" s="274"/>
      <c r="K32" s="274"/>
      <c r="L32" s="172"/>
      <c r="M32" s="172"/>
    </row>
    <row r="33" spans="2:8" ht="19.5" customHeight="1">
      <c r="B33" s="482" t="s">
        <v>525</v>
      </c>
      <c r="C33" s="496"/>
      <c r="D33" s="496"/>
      <c r="E33" s="277">
        <f>SUM(E10+E14+E24+E31)</f>
        <v>0</v>
      </c>
      <c r="F33" s="277">
        <f>SUM(F31,F24,F14,F10)</f>
        <v>0</v>
      </c>
      <c r="G33" s="277">
        <f>SUM(G31,G24,G14,G10)</f>
        <v>0</v>
      </c>
      <c r="H33" s="278" t="e">
        <f>SUM(H31,H24,H14,H10)</f>
        <v>#DIV/0!</v>
      </c>
    </row>
    <row r="34" spans="2:13" s="259" customFormat="1" ht="21.75" customHeight="1">
      <c r="B34" s="150"/>
      <c r="C34" s="150"/>
      <c r="D34" s="150"/>
      <c r="E34" s="279"/>
      <c r="F34" s="279"/>
      <c r="G34" s="279"/>
      <c r="H34" s="279"/>
      <c r="J34" s="172"/>
      <c r="K34" s="172"/>
      <c r="L34" s="172"/>
      <c r="M34" s="172"/>
    </row>
    <row r="35" spans="2:13" s="259" customFormat="1" ht="21.75" customHeight="1" thickBot="1">
      <c r="B35" s="150"/>
      <c r="C35" s="150"/>
      <c r="D35" s="150"/>
      <c r="E35" s="279"/>
      <c r="F35" s="279"/>
      <c r="G35" s="279"/>
      <c r="H35" s="279"/>
      <c r="J35" s="172"/>
      <c r="K35" s="172"/>
      <c r="L35" s="172"/>
      <c r="M35" s="172"/>
    </row>
    <row r="36" spans="2:13" s="259" customFormat="1" ht="34.5" customHeight="1">
      <c r="B36" s="508" t="s">
        <v>584</v>
      </c>
      <c r="C36" s="509"/>
      <c r="D36" s="509"/>
      <c r="E36" s="509"/>
      <c r="F36" s="509"/>
      <c r="G36" s="509"/>
      <c r="H36" s="510"/>
      <c r="J36" s="172"/>
      <c r="K36" s="172"/>
      <c r="L36" s="172"/>
      <c r="M36" s="172"/>
    </row>
    <row r="37" spans="2:13" s="259" customFormat="1" ht="15" customHeight="1" thickBot="1">
      <c r="B37" s="150"/>
      <c r="C37" s="150"/>
      <c r="D37" s="150"/>
      <c r="E37" s="279"/>
      <c r="F37" s="279"/>
      <c r="G37" s="279"/>
      <c r="H37" s="279"/>
      <c r="J37" s="172"/>
      <c r="K37" s="172"/>
      <c r="L37" s="172"/>
      <c r="M37" s="172"/>
    </row>
    <row r="38" spans="2:8" ht="30" customHeight="1">
      <c r="B38" s="495" t="s">
        <v>581</v>
      </c>
      <c r="C38" s="481"/>
      <c r="D38" s="481"/>
      <c r="E38" s="481"/>
      <c r="F38" s="481"/>
      <c r="G38" s="481"/>
      <c r="H38" s="481"/>
    </row>
    <row r="39" spans="2:13" s="259" customFormat="1" ht="9.75" customHeight="1">
      <c r="B39" s="231"/>
      <c r="C39" s="231"/>
      <c r="D39" s="231"/>
      <c r="E39" s="231"/>
      <c r="F39" s="231"/>
      <c r="G39" s="231"/>
      <c r="H39" s="231"/>
      <c r="J39" s="172"/>
      <c r="K39" s="172"/>
      <c r="L39" s="172"/>
      <c r="M39" s="172"/>
    </row>
    <row r="40" spans="2:11" ht="30" customHeight="1">
      <c r="B40" s="511"/>
      <c r="C40" s="512"/>
      <c r="D40" s="95" t="s">
        <v>525</v>
      </c>
      <c r="E40" s="496" t="s">
        <v>578</v>
      </c>
      <c r="F40" s="496"/>
      <c r="G40" s="496" t="s">
        <v>583</v>
      </c>
      <c r="H40" s="487"/>
      <c r="K40" s="280"/>
    </row>
    <row r="41" spans="2:13" s="259" customFormat="1" ht="9.75" customHeight="1" thickBot="1">
      <c r="B41" s="281"/>
      <c r="C41" s="281"/>
      <c r="D41" s="150"/>
      <c r="E41" s="150"/>
      <c r="F41" s="150"/>
      <c r="G41" s="150"/>
      <c r="H41" s="150"/>
      <c r="J41" s="172"/>
      <c r="K41" s="282"/>
      <c r="L41" s="172"/>
      <c r="M41" s="172"/>
    </row>
    <row r="42" spans="2:8" ht="39.75" customHeight="1">
      <c r="B42" s="502" t="s">
        <v>585</v>
      </c>
      <c r="C42" s="503"/>
      <c r="D42" s="28"/>
      <c r="E42" s="497">
        <f>D42*30%</f>
        <v>0</v>
      </c>
      <c r="F42" s="498"/>
      <c r="G42" s="498">
        <f>D42*70%</f>
        <v>0</v>
      </c>
      <c r="H42" s="499"/>
    </row>
    <row r="43" spans="2:8" ht="39.75" customHeight="1">
      <c r="B43" s="504" t="s">
        <v>586</v>
      </c>
      <c r="C43" s="505"/>
      <c r="D43" s="283">
        <f>G33</f>
        <v>0</v>
      </c>
      <c r="E43" s="506">
        <f>D43*30%</f>
        <v>0</v>
      </c>
      <c r="F43" s="506"/>
      <c r="G43" s="506">
        <f>D43*70%</f>
        <v>0</v>
      </c>
      <c r="H43" s="507"/>
    </row>
    <row r="44" spans="2:8" ht="39.75" customHeight="1">
      <c r="B44" s="501" t="s">
        <v>587</v>
      </c>
      <c r="C44" s="491"/>
      <c r="D44" s="284" t="e">
        <f>D43/D42</f>
        <v>#DIV/0!</v>
      </c>
      <c r="E44" s="500" t="e">
        <f>E43/E42</f>
        <v>#DIV/0!</v>
      </c>
      <c r="F44" s="500"/>
      <c r="G44" s="500" t="e">
        <f>G43/G42</f>
        <v>#DIV/0!</v>
      </c>
      <c r="H44" s="486"/>
    </row>
    <row r="45" spans="2:13" s="259" customFormat="1" ht="15" customHeight="1" thickBot="1">
      <c r="B45" s="285"/>
      <c r="C45" s="285"/>
      <c r="D45" s="286"/>
      <c r="E45" s="286"/>
      <c r="F45" s="286"/>
      <c r="G45" s="286"/>
      <c r="H45" s="286"/>
      <c r="J45" s="172"/>
      <c r="K45" s="172"/>
      <c r="L45" s="172"/>
      <c r="M45" s="172"/>
    </row>
    <row r="46" spans="2:8" ht="30" customHeight="1">
      <c r="B46" s="495" t="s">
        <v>582</v>
      </c>
      <c r="C46" s="481"/>
      <c r="D46" s="481"/>
      <c r="E46" s="481"/>
      <c r="F46" s="481"/>
      <c r="G46" s="481"/>
      <c r="H46" s="481"/>
    </row>
    <row r="47" spans="2:13" s="259" customFormat="1" ht="9.75" customHeight="1">
      <c r="B47" s="231"/>
      <c r="C47" s="231"/>
      <c r="D47" s="231"/>
      <c r="E47" s="231"/>
      <c r="F47" s="231"/>
      <c r="G47" s="231"/>
      <c r="H47" s="231"/>
      <c r="J47" s="172"/>
      <c r="K47" s="172"/>
      <c r="L47" s="172"/>
      <c r="M47" s="172"/>
    </row>
    <row r="48" spans="2:8" ht="39.75" customHeight="1">
      <c r="B48" s="511"/>
      <c r="C48" s="512"/>
      <c r="D48" s="95" t="s">
        <v>603</v>
      </c>
      <c r="E48" s="95" t="s">
        <v>620</v>
      </c>
      <c r="F48" s="95" t="s">
        <v>621</v>
      </c>
      <c r="G48" s="95" t="s">
        <v>622</v>
      </c>
      <c r="H48" s="241" t="s">
        <v>525</v>
      </c>
    </row>
    <row r="49" spans="2:13" s="259" customFormat="1" ht="9.75" customHeight="1" thickBot="1">
      <c r="B49" s="281"/>
      <c r="C49" s="281"/>
      <c r="D49" s="150"/>
      <c r="E49" s="150"/>
      <c r="F49" s="150"/>
      <c r="G49" s="150"/>
      <c r="H49" s="150"/>
      <c r="J49" s="172"/>
      <c r="K49" s="172"/>
      <c r="L49" s="172"/>
      <c r="M49" s="172"/>
    </row>
    <row r="50" spans="2:8" ht="39.75" customHeight="1">
      <c r="B50" s="502" t="s">
        <v>585</v>
      </c>
      <c r="C50" s="503"/>
      <c r="D50" s="291"/>
      <c r="E50" s="292"/>
      <c r="F50" s="292"/>
      <c r="G50" s="293"/>
      <c r="H50" s="287">
        <f>SUM(D50:G50)</f>
        <v>0</v>
      </c>
    </row>
    <row r="51" spans="2:8" ht="39.75" customHeight="1">
      <c r="B51" s="504" t="s">
        <v>586</v>
      </c>
      <c r="C51" s="505"/>
      <c r="D51" s="294"/>
      <c r="E51" s="295"/>
      <c r="F51" s="295"/>
      <c r="G51" s="296"/>
      <c r="H51" s="288">
        <f>SUM(D51:G51)</f>
        <v>0</v>
      </c>
    </row>
    <row r="52" spans="2:8" ht="39.75" customHeight="1">
      <c r="B52" s="501" t="s">
        <v>587</v>
      </c>
      <c r="C52" s="491"/>
      <c r="D52" s="289" t="e">
        <f>D51/D50</f>
        <v>#DIV/0!</v>
      </c>
      <c r="E52" s="289" t="e">
        <f>E51/E50</f>
        <v>#DIV/0!</v>
      </c>
      <c r="F52" s="289" t="e">
        <f>G51/G50</f>
        <v>#DIV/0!</v>
      </c>
      <c r="G52" s="289" t="e">
        <f>H51/H50</f>
        <v>#DIV/0!</v>
      </c>
      <c r="H52" s="290" t="e">
        <f>H51/H50</f>
        <v>#DIV/0!</v>
      </c>
    </row>
  </sheetData>
  <sheetProtection sheet="1" objects="1" scenarios="1"/>
  <mergeCells count="50">
    <mergeCell ref="C21:D21"/>
    <mergeCell ref="C30:D30"/>
    <mergeCell ref="B16:B24"/>
    <mergeCell ref="C12:D12"/>
    <mergeCell ref="C24:D24"/>
    <mergeCell ref="C14:D14"/>
    <mergeCell ref="C17:D17"/>
    <mergeCell ref="C18:D18"/>
    <mergeCell ref="C19:D19"/>
    <mergeCell ref="C20:D20"/>
    <mergeCell ref="B42:C42"/>
    <mergeCell ref="B43:C43"/>
    <mergeCell ref="C6:D6"/>
    <mergeCell ref="C7:D7"/>
    <mergeCell ref="C8:D8"/>
    <mergeCell ref="C9:D9"/>
    <mergeCell ref="C31:D31"/>
    <mergeCell ref="C22:D22"/>
    <mergeCell ref="C23:D23"/>
    <mergeCell ref="C16:D16"/>
    <mergeCell ref="B40:C40"/>
    <mergeCell ref="G40:H40"/>
    <mergeCell ref="B44:C44"/>
    <mergeCell ref="B2:H2"/>
    <mergeCell ref="B3:H3"/>
    <mergeCell ref="B4:D4"/>
    <mergeCell ref="C10:D10"/>
    <mergeCell ref="B6:B10"/>
    <mergeCell ref="B12:B14"/>
    <mergeCell ref="C13:D13"/>
    <mergeCell ref="B52:C52"/>
    <mergeCell ref="C26:D26"/>
    <mergeCell ref="C27:D27"/>
    <mergeCell ref="B38:H38"/>
    <mergeCell ref="B33:D33"/>
    <mergeCell ref="B26:B31"/>
    <mergeCell ref="C28:D28"/>
    <mergeCell ref="C29:D29"/>
    <mergeCell ref="B46:H46"/>
    <mergeCell ref="G44:H44"/>
    <mergeCell ref="B36:H36"/>
    <mergeCell ref="B48:C48"/>
    <mergeCell ref="B50:C50"/>
    <mergeCell ref="B51:C51"/>
    <mergeCell ref="G43:H43"/>
    <mergeCell ref="E40:F40"/>
    <mergeCell ref="E42:F42"/>
    <mergeCell ref="E43:F43"/>
    <mergeCell ref="G42:H42"/>
    <mergeCell ref="E44:F44"/>
  </mergeCells>
  <printOptions horizontalCentered="1" verticalCentered="1"/>
  <pageMargins left="0.1968503937007874" right="0.1968503937007874" top="0.11811023622047245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outlinePr summaryBelow="0" summaryRight="0"/>
  </sheetPr>
  <dimension ref="B2:G79"/>
  <sheetViews>
    <sheetView zoomScale="80" zoomScaleNormal="80" zoomScaleSheetLayoutView="8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72" customWidth="1"/>
    <col min="2" max="2" width="40.7109375" style="297" customWidth="1"/>
    <col min="3" max="3" width="55.7109375" style="297" customWidth="1"/>
    <col min="4" max="4" width="13.7109375" style="298" customWidth="1"/>
    <col min="5" max="5" width="15.7109375" style="298" customWidth="1"/>
    <col min="6" max="6" width="15.7109375" style="172" customWidth="1"/>
    <col min="7" max="7" width="20.7109375" style="172" customWidth="1"/>
    <col min="8" max="8" width="2.7109375" style="172" customWidth="1"/>
    <col min="9" max="9" width="12.57421875" style="172" bestFit="1" customWidth="1"/>
    <col min="10" max="10" width="11.57421875" style="172" bestFit="1" customWidth="1"/>
    <col min="11" max="16384" width="9.140625" style="172" customWidth="1"/>
  </cols>
  <sheetData>
    <row r="1" ht="9.75" customHeight="1" thickBot="1"/>
    <row r="2" spans="2:7" s="233" customFormat="1" ht="49.5" customHeight="1">
      <c r="B2" s="473" t="s">
        <v>591</v>
      </c>
      <c r="C2" s="474"/>
      <c r="D2" s="475"/>
      <c r="E2" s="475"/>
      <c r="F2" s="475"/>
      <c r="G2" s="475"/>
    </row>
    <row r="3" spans="2:7" s="233" customFormat="1" ht="9.75" customHeight="1" thickBot="1">
      <c r="B3" s="231"/>
      <c r="C3" s="231"/>
      <c r="D3" s="231"/>
      <c r="E3" s="231"/>
      <c r="F3" s="231"/>
      <c r="G3" s="231"/>
    </row>
    <row r="4" spans="2:7" s="233" customFormat="1" ht="30" customHeight="1">
      <c r="B4" s="299" t="s">
        <v>592</v>
      </c>
      <c r="C4" s="490" t="s">
        <v>526</v>
      </c>
      <c r="D4" s="490"/>
      <c r="E4" s="240" t="s">
        <v>602</v>
      </c>
      <c r="F4" s="240" t="s">
        <v>181</v>
      </c>
      <c r="G4" s="260" t="s">
        <v>169</v>
      </c>
    </row>
    <row r="5" spans="2:7" s="233" customFormat="1" ht="19.5" customHeight="1" thickBot="1">
      <c r="B5" s="476" t="s">
        <v>247</v>
      </c>
      <c r="C5" s="476"/>
      <c r="D5" s="476"/>
      <c r="E5" s="476"/>
      <c r="F5" s="476"/>
      <c r="G5" s="476"/>
    </row>
    <row r="6" spans="2:7" s="233" customFormat="1" ht="19.5" customHeight="1">
      <c r="B6" s="471" t="s">
        <v>623</v>
      </c>
      <c r="C6" s="472"/>
      <c r="D6" s="472"/>
      <c r="E6" s="472"/>
      <c r="F6" s="472"/>
      <c r="G6" s="472"/>
    </row>
    <row r="7" spans="2:7" s="233" customFormat="1" ht="15" customHeight="1" thickBot="1">
      <c r="B7" s="300"/>
      <c r="C7" s="300"/>
      <c r="D7" s="300"/>
      <c r="E7" s="300"/>
      <c r="F7" s="300"/>
      <c r="G7" s="300"/>
    </row>
    <row r="8" spans="2:7" s="233" customFormat="1" ht="49.5" customHeight="1">
      <c r="B8" s="197" t="s">
        <v>216</v>
      </c>
      <c r="C8" s="301" t="s">
        <v>220</v>
      </c>
      <c r="D8" s="302">
        <v>0.1</v>
      </c>
      <c r="E8" s="303">
        <f>SUM(Cadastro!G6:G7)*D8</f>
        <v>0</v>
      </c>
      <c r="F8" s="32"/>
      <c r="G8" s="304" t="e">
        <f>F8/E8</f>
        <v>#DIV/0!</v>
      </c>
    </row>
    <row r="9" spans="2:7" s="233" customFormat="1" ht="49.5" customHeight="1">
      <c r="B9" s="198" t="s">
        <v>217</v>
      </c>
      <c r="C9" s="305" t="s">
        <v>223</v>
      </c>
      <c r="D9" s="306">
        <v>0.2</v>
      </c>
      <c r="E9" s="307">
        <f>SUM(Cadastro!G6:G7)*D9</f>
        <v>0</v>
      </c>
      <c r="F9" s="35"/>
      <c r="G9" s="304" t="e">
        <f>F9/E9</f>
        <v>#DIV/0!</v>
      </c>
    </row>
    <row r="10" spans="2:7" s="233" customFormat="1" ht="49.5" customHeight="1">
      <c r="B10" s="198" t="s">
        <v>218</v>
      </c>
      <c r="C10" s="305" t="s">
        <v>221</v>
      </c>
      <c r="D10" s="306">
        <v>0.1</v>
      </c>
      <c r="E10" s="307">
        <f>Cadastro!G8*D10</f>
        <v>0</v>
      </c>
      <c r="F10" s="35"/>
      <c r="G10" s="304" t="e">
        <f>F10/E10</f>
        <v>#DIV/0!</v>
      </c>
    </row>
    <row r="11" spans="2:7" s="233" customFormat="1" ht="49.5" customHeight="1">
      <c r="B11" s="308" t="s">
        <v>219</v>
      </c>
      <c r="C11" s="305" t="s">
        <v>222</v>
      </c>
      <c r="D11" s="306">
        <v>0.2</v>
      </c>
      <c r="E11" s="307">
        <f>Cadastro!G8*D11</f>
        <v>0</v>
      </c>
      <c r="F11" s="33"/>
      <c r="G11" s="309" t="e">
        <f>F11/E11</f>
        <v>#DIV/0!</v>
      </c>
    </row>
    <row r="12" spans="2:7" s="233" customFormat="1" ht="9.75" customHeight="1" thickBot="1">
      <c r="B12" s="310"/>
      <c r="C12" s="310"/>
      <c r="D12" s="311"/>
      <c r="E12" s="312"/>
      <c r="F12" s="163"/>
      <c r="G12" s="313"/>
    </row>
    <row r="13" spans="2:7" s="233" customFormat="1" ht="19.5" customHeight="1">
      <c r="B13" s="471" t="s">
        <v>153</v>
      </c>
      <c r="C13" s="472"/>
      <c r="D13" s="472"/>
      <c r="E13" s="472"/>
      <c r="F13" s="472"/>
      <c r="G13" s="472"/>
    </row>
    <row r="14" spans="2:7" s="233" customFormat="1" ht="15" customHeight="1" thickBot="1">
      <c r="B14" s="300"/>
      <c r="C14" s="310"/>
      <c r="D14" s="310"/>
      <c r="E14" s="310"/>
      <c r="F14" s="310"/>
      <c r="G14" s="314"/>
    </row>
    <row r="15" spans="2:7" s="233" customFormat="1" ht="34.5" customHeight="1">
      <c r="B15" s="197" t="s">
        <v>528</v>
      </c>
      <c r="C15" s="301" t="s">
        <v>527</v>
      </c>
      <c r="D15" s="315">
        <v>0.2172</v>
      </c>
      <c r="E15" s="212">
        <f>E71*D15</f>
        <v>0</v>
      </c>
      <c r="F15" s="32"/>
      <c r="G15" s="304" t="e">
        <f>F15/E15</f>
        <v>#DIV/0!</v>
      </c>
    </row>
    <row r="16" spans="2:7" s="233" customFormat="1" ht="34.5" customHeight="1">
      <c r="B16" s="198" t="s">
        <v>624</v>
      </c>
      <c r="C16" s="305" t="s">
        <v>484</v>
      </c>
      <c r="D16" s="306">
        <v>0.4</v>
      </c>
      <c r="E16" s="214">
        <f>SUM(Cadastro!G$12:G$13)*D16</f>
        <v>0</v>
      </c>
      <c r="F16" s="35"/>
      <c r="G16" s="316" t="e">
        <f>F16/E16</f>
        <v>#DIV/0!</v>
      </c>
    </row>
    <row r="17" spans="2:7" s="233" customFormat="1" ht="34.5" customHeight="1">
      <c r="B17" s="198" t="s">
        <v>529</v>
      </c>
      <c r="C17" s="305" t="s">
        <v>531</v>
      </c>
      <c r="D17" s="306">
        <v>0.12</v>
      </c>
      <c r="E17" s="214">
        <f>SUM(Cadastro!G$12:G$13)*D17</f>
        <v>0</v>
      </c>
      <c r="F17" s="35"/>
      <c r="G17" s="316" t="e">
        <f>F17/E17</f>
        <v>#DIV/0!</v>
      </c>
    </row>
    <row r="18" spans="2:7" s="233" customFormat="1" ht="34.5" customHeight="1">
      <c r="B18" s="239" t="s">
        <v>530</v>
      </c>
      <c r="C18" s="317" t="s">
        <v>485</v>
      </c>
      <c r="D18" s="318">
        <v>0.03</v>
      </c>
      <c r="E18" s="190">
        <f>E17*D18</f>
        <v>0</v>
      </c>
      <c r="F18" s="33"/>
      <c r="G18" s="309" t="e">
        <f>F18/E18</f>
        <v>#DIV/0!</v>
      </c>
    </row>
    <row r="19" spans="2:7" s="233" customFormat="1" ht="9.75" customHeight="1" thickBot="1">
      <c r="B19" s="310"/>
      <c r="C19" s="310"/>
      <c r="D19" s="311"/>
      <c r="E19" s="312"/>
      <c r="F19" s="163"/>
      <c r="G19" s="319"/>
    </row>
    <row r="20" spans="2:7" s="233" customFormat="1" ht="19.5" customHeight="1">
      <c r="B20" s="471" t="s">
        <v>200</v>
      </c>
      <c r="C20" s="472"/>
      <c r="D20" s="472"/>
      <c r="E20" s="472"/>
      <c r="F20" s="472"/>
      <c r="G20" s="472"/>
    </row>
    <row r="21" spans="2:7" s="233" customFormat="1" ht="15" customHeight="1" thickBot="1">
      <c r="B21" s="300"/>
      <c r="C21" s="300"/>
      <c r="D21" s="300"/>
      <c r="E21" s="300"/>
      <c r="F21" s="300"/>
      <c r="G21" s="300"/>
    </row>
    <row r="22" spans="2:7" s="233" customFormat="1" ht="34.5" customHeight="1">
      <c r="B22" s="197" t="s">
        <v>532</v>
      </c>
      <c r="C22" s="301" t="s">
        <v>3</v>
      </c>
      <c r="D22" s="302">
        <v>0.2</v>
      </c>
      <c r="E22" s="212">
        <f>SUM(Cadastro!G24,Cadastro!G31)*D22</f>
        <v>0</v>
      </c>
      <c r="F22" s="32"/>
      <c r="G22" s="304" t="e">
        <f>F22/E22</f>
        <v>#DIV/0!</v>
      </c>
    </row>
    <row r="23" spans="2:7" s="233" customFormat="1" ht="34.5" customHeight="1">
      <c r="B23" s="198" t="s">
        <v>533</v>
      </c>
      <c r="C23" s="305" t="s">
        <v>534</v>
      </c>
      <c r="D23" s="306">
        <v>0.4</v>
      </c>
      <c r="E23" s="214">
        <f>E$22*D23</f>
        <v>0</v>
      </c>
      <c r="F23" s="35"/>
      <c r="G23" s="316" t="e">
        <f>F23/E23</f>
        <v>#DIV/0!</v>
      </c>
    </row>
    <row r="24" spans="2:7" s="233" customFormat="1" ht="34.5" customHeight="1">
      <c r="B24" s="198" t="s">
        <v>535</v>
      </c>
      <c r="C24" s="305" t="s">
        <v>536</v>
      </c>
      <c r="D24" s="306">
        <v>0.35</v>
      </c>
      <c r="E24" s="214">
        <f>E$22*D24</f>
        <v>0</v>
      </c>
      <c r="F24" s="35"/>
      <c r="G24" s="316" t="e">
        <f>F24/E24</f>
        <v>#DIV/0!</v>
      </c>
    </row>
    <row r="25" spans="2:7" s="233" customFormat="1" ht="34.5" customHeight="1">
      <c r="B25" s="239" t="s">
        <v>537</v>
      </c>
      <c r="C25" s="317" t="s">
        <v>538</v>
      </c>
      <c r="D25" s="318">
        <v>0.25</v>
      </c>
      <c r="E25" s="190">
        <f>E$22*D25</f>
        <v>0</v>
      </c>
      <c r="F25" s="33"/>
      <c r="G25" s="309" t="e">
        <f>F25/E25</f>
        <v>#DIV/0!</v>
      </c>
    </row>
    <row r="26" spans="2:7" s="233" customFormat="1" ht="9.75" customHeight="1" thickBot="1">
      <c r="B26" s="310"/>
      <c r="C26" s="310"/>
      <c r="D26" s="311"/>
      <c r="E26" s="312"/>
      <c r="F26" s="163"/>
      <c r="G26" s="319"/>
    </row>
    <row r="27" spans="2:7" s="233" customFormat="1" ht="19.5" customHeight="1">
      <c r="B27" s="471" t="s">
        <v>201</v>
      </c>
      <c r="C27" s="472"/>
      <c r="D27" s="472"/>
      <c r="E27" s="472"/>
      <c r="F27" s="472"/>
      <c r="G27" s="472"/>
    </row>
    <row r="28" spans="2:7" s="233" customFormat="1" ht="15" customHeight="1" thickBot="1">
      <c r="B28" s="300"/>
      <c r="C28" s="300"/>
      <c r="D28" s="300"/>
      <c r="E28" s="300"/>
      <c r="F28" s="300"/>
      <c r="G28" s="300"/>
    </row>
    <row r="29" spans="2:7" s="233" customFormat="1" ht="34.5" customHeight="1">
      <c r="B29" s="197" t="s">
        <v>539</v>
      </c>
      <c r="C29" s="301" t="s">
        <v>2</v>
      </c>
      <c r="D29" s="302">
        <v>0.08</v>
      </c>
      <c r="E29" s="212">
        <f>SUM(Cadastro!G24,Cadastro!G31)*D29</f>
        <v>0</v>
      </c>
      <c r="F29" s="32"/>
      <c r="G29" s="304" t="e">
        <f>F29/E29</f>
        <v>#DIV/0!</v>
      </c>
    </row>
    <row r="30" spans="2:7" s="233" customFormat="1" ht="34.5" customHeight="1">
      <c r="B30" s="198" t="s">
        <v>540</v>
      </c>
      <c r="C30" s="305" t="s">
        <v>541</v>
      </c>
      <c r="D30" s="306">
        <v>0.2</v>
      </c>
      <c r="E30" s="214">
        <f>E$29*D30</f>
        <v>0</v>
      </c>
      <c r="F30" s="35"/>
      <c r="G30" s="316" t="e">
        <f>F30/E30</f>
        <v>#DIV/0!</v>
      </c>
    </row>
    <row r="31" spans="2:7" s="233" customFormat="1" ht="34.5" customHeight="1">
      <c r="B31" s="198" t="s">
        <v>542</v>
      </c>
      <c r="C31" s="305" t="s">
        <v>543</v>
      </c>
      <c r="D31" s="306">
        <v>0.3</v>
      </c>
      <c r="E31" s="214">
        <f>E$29*D31</f>
        <v>0</v>
      </c>
      <c r="F31" s="35"/>
      <c r="G31" s="316" t="e">
        <f>F31/E31</f>
        <v>#DIV/0!</v>
      </c>
    </row>
    <row r="32" spans="2:7" s="233" customFormat="1" ht="34.5" customHeight="1">
      <c r="B32" s="198" t="s">
        <v>544</v>
      </c>
      <c r="C32" s="305" t="s">
        <v>545</v>
      </c>
      <c r="D32" s="306">
        <v>0.35</v>
      </c>
      <c r="E32" s="214">
        <f>E$29*D32</f>
        <v>0</v>
      </c>
      <c r="F32" s="35"/>
      <c r="G32" s="316" t="e">
        <f>F32/E32</f>
        <v>#DIV/0!</v>
      </c>
    </row>
    <row r="33" spans="2:7" s="233" customFormat="1" ht="34.5" customHeight="1">
      <c r="B33" s="239" t="s">
        <v>546</v>
      </c>
      <c r="C33" s="317" t="s">
        <v>547</v>
      </c>
      <c r="D33" s="318">
        <v>0.15</v>
      </c>
      <c r="E33" s="190">
        <f>E$29*D33</f>
        <v>0</v>
      </c>
      <c r="F33" s="33"/>
      <c r="G33" s="309" t="e">
        <f>F33/E33</f>
        <v>#DIV/0!</v>
      </c>
    </row>
    <row r="34" spans="2:7" s="233" customFormat="1" ht="9.75" customHeight="1" thickBot="1">
      <c r="B34" s="310"/>
      <c r="C34" s="310"/>
      <c r="D34" s="311"/>
      <c r="E34" s="312"/>
      <c r="F34" s="163"/>
      <c r="G34" s="319"/>
    </row>
    <row r="35" spans="2:7" s="233" customFormat="1" ht="19.5" customHeight="1">
      <c r="B35" s="471" t="s">
        <v>202</v>
      </c>
      <c r="C35" s="472"/>
      <c r="D35" s="472"/>
      <c r="E35" s="472"/>
      <c r="F35" s="472"/>
      <c r="G35" s="472"/>
    </row>
    <row r="36" spans="2:7" s="233" customFormat="1" ht="15" customHeight="1" thickBot="1">
      <c r="B36" s="300"/>
      <c r="C36" s="300"/>
      <c r="D36" s="300"/>
      <c r="E36" s="300"/>
      <c r="F36" s="300"/>
      <c r="G36" s="300"/>
    </row>
    <row r="37" spans="2:7" s="233" customFormat="1" ht="34.5" customHeight="1">
      <c r="B37" s="197" t="s">
        <v>548</v>
      </c>
      <c r="C37" s="301" t="s">
        <v>395</v>
      </c>
      <c r="D37" s="302">
        <v>0.01</v>
      </c>
      <c r="E37" s="212">
        <f>SUM(Cadastro!G33)*D37</f>
        <v>0</v>
      </c>
      <c r="F37" s="32"/>
      <c r="G37" s="304" t="e">
        <f>F37/E37</f>
        <v>#DIV/0!</v>
      </c>
    </row>
    <row r="38" spans="2:7" s="233" customFormat="1" ht="34.5" customHeight="1">
      <c r="B38" s="198" t="s">
        <v>490</v>
      </c>
      <c r="C38" s="305" t="s">
        <v>493</v>
      </c>
      <c r="D38" s="306">
        <v>0.04</v>
      </c>
      <c r="E38" s="214">
        <f>E37*D38</f>
        <v>0</v>
      </c>
      <c r="F38" s="35"/>
      <c r="G38" s="316" t="e">
        <f>F38/E38</f>
        <v>#DIV/0!</v>
      </c>
    </row>
    <row r="39" spans="2:7" s="233" customFormat="1" ht="34.5" customHeight="1">
      <c r="B39" s="239" t="s">
        <v>549</v>
      </c>
      <c r="C39" s="317" t="s">
        <v>550</v>
      </c>
      <c r="D39" s="176">
        <v>4</v>
      </c>
      <c r="E39" s="190">
        <f>E38*D39</f>
        <v>0</v>
      </c>
      <c r="F39" s="33"/>
      <c r="G39" s="309" t="e">
        <f>F39/E39</f>
        <v>#DIV/0!</v>
      </c>
    </row>
    <row r="40" spans="2:7" s="233" customFormat="1" ht="9.75" customHeight="1" thickBot="1">
      <c r="B40" s="310"/>
      <c r="C40" s="310"/>
      <c r="D40" s="312"/>
      <c r="E40" s="312"/>
      <c r="F40" s="163"/>
      <c r="G40" s="319"/>
    </row>
    <row r="41" spans="2:7" s="233" customFormat="1" ht="19.5" customHeight="1">
      <c r="B41" s="471" t="s">
        <v>203</v>
      </c>
      <c r="C41" s="472"/>
      <c r="D41" s="472"/>
      <c r="E41" s="472"/>
      <c r="F41" s="472"/>
      <c r="G41" s="472"/>
    </row>
    <row r="42" spans="2:7" s="233" customFormat="1" ht="15" customHeight="1" thickBot="1">
      <c r="B42" s="300"/>
      <c r="C42" s="300"/>
      <c r="D42" s="300"/>
      <c r="E42" s="300"/>
      <c r="F42" s="300"/>
      <c r="G42" s="300"/>
    </row>
    <row r="43" spans="2:7" s="233" customFormat="1" ht="34.5" customHeight="1">
      <c r="B43" s="197" t="s">
        <v>551</v>
      </c>
      <c r="C43" s="301" t="s">
        <v>552</v>
      </c>
      <c r="D43" s="302">
        <v>0.025</v>
      </c>
      <c r="E43" s="320">
        <f>SUM(Cadastro!G$33)*D43</f>
        <v>0</v>
      </c>
      <c r="F43" s="32"/>
      <c r="G43" s="304" t="e">
        <f>F43/E43</f>
        <v>#DIV/0!</v>
      </c>
    </row>
    <row r="44" spans="2:7" s="233" customFormat="1" ht="34.5" customHeight="1">
      <c r="B44" s="198" t="s">
        <v>471</v>
      </c>
      <c r="C44" s="305" t="s">
        <v>472</v>
      </c>
      <c r="D44" s="306">
        <v>0.1</v>
      </c>
      <c r="E44" s="321">
        <f>E43*D44</f>
        <v>0</v>
      </c>
      <c r="F44" s="35"/>
      <c r="G44" s="316" t="e">
        <f>F44/E44</f>
        <v>#DIV/0!</v>
      </c>
    </row>
    <row r="45" spans="2:7" s="233" customFormat="1" ht="34.5" customHeight="1">
      <c r="B45" s="198" t="s">
        <v>553</v>
      </c>
      <c r="C45" s="305" t="s">
        <v>182</v>
      </c>
      <c r="D45" s="322">
        <v>0.00015</v>
      </c>
      <c r="E45" s="321">
        <f>SUM(Cadastro!G$33)*D45</f>
        <v>0</v>
      </c>
      <c r="F45" s="35"/>
      <c r="G45" s="316" t="e">
        <f>F45/E45</f>
        <v>#DIV/0!</v>
      </c>
    </row>
    <row r="46" spans="2:7" s="233" customFormat="1" ht="34.5" customHeight="1">
      <c r="B46" s="198" t="s">
        <v>554</v>
      </c>
      <c r="C46" s="305" t="s">
        <v>555</v>
      </c>
      <c r="D46" s="306">
        <v>0.3</v>
      </c>
      <c r="E46" s="323">
        <f>E45*D46</f>
        <v>0</v>
      </c>
      <c r="F46" s="35"/>
      <c r="G46" s="316" t="e">
        <f>F46/E46</f>
        <v>#DIV/0!</v>
      </c>
    </row>
    <row r="47" spans="2:7" s="233" customFormat="1" ht="34.5" customHeight="1">
      <c r="B47" s="239" t="s">
        <v>556</v>
      </c>
      <c r="C47" s="317" t="s">
        <v>557</v>
      </c>
      <c r="D47" s="176">
        <v>4</v>
      </c>
      <c r="E47" s="190">
        <f>E45*D47</f>
        <v>0</v>
      </c>
      <c r="F47" s="33"/>
      <c r="G47" s="309" t="e">
        <f>F47/E47</f>
        <v>#DIV/0!</v>
      </c>
    </row>
    <row r="48" spans="2:7" s="233" customFormat="1" ht="9.75" customHeight="1" thickBot="1">
      <c r="B48" s="310"/>
      <c r="C48" s="310"/>
      <c r="D48" s="312"/>
      <c r="E48" s="312"/>
      <c r="F48" s="163"/>
      <c r="G48" s="319"/>
    </row>
    <row r="49" spans="2:7" s="233" customFormat="1" ht="19.5" customHeight="1">
      <c r="B49" s="471" t="s">
        <v>154</v>
      </c>
      <c r="C49" s="472"/>
      <c r="D49" s="472"/>
      <c r="E49" s="472"/>
      <c r="F49" s="472"/>
      <c r="G49" s="472"/>
    </row>
    <row r="50" spans="2:7" s="233" customFormat="1" ht="15" customHeight="1" thickBot="1">
      <c r="B50" s="300"/>
      <c r="C50" s="300"/>
      <c r="D50" s="300"/>
      <c r="E50" s="300"/>
      <c r="F50" s="300"/>
      <c r="G50" s="300"/>
    </row>
    <row r="51" spans="2:7" s="233" customFormat="1" ht="34.5" customHeight="1">
      <c r="B51" s="324" t="s">
        <v>558</v>
      </c>
      <c r="C51" s="325" t="s">
        <v>559</v>
      </c>
      <c r="D51" s="326">
        <v>0.006</v>
      </c>
      <c r="E51" s="327">
        <f>SUM(Cadastro!G13,Cadastro!G16:G21)*D51</f>
        <v>0</v>
      </c>
      <c r="F51" s="37"/>
      <c r="G51" s="328" t="e">
        <f>F51/E51</f>
        <v>#DIV/0!</v>
      </c>
    </row>
    <row r="52" spans="2:7" s="233" customFormat="1" ht="9.75" customHeight="1" thickBot="1">
      <c r="B52" s="310"/>
      <c r="C52" s="310"/>
      <c r="D52" s="329"/>
      <c r="E52" s="312"/>
      <c r="F52" s="163"/>
      <c r="G52" s="319"/>
    </row>
    <row r="53" spans="2:7" s="233" customFormat="1" ht="19.5" customHeight="1">
      <c r="B53" s="471" t="s">
        <v>347</v>
      </c>
      <c r="C53" s="472"/>
      <c r="D53" s="472"/>
      <c r="E53" s="472"/>
      <c r="F53" s="472"/>
      <c r="G53" s="472"/>
    </row>
    <row r="54" spans="2:7" s="233" customFormat="1" ht="15" customHeight="1" thickBot="1">
      <c r="B54" s="300"/>
      <c r="C54" s="300"/>
      <c r="D54" s="300"/>
      <c r="E54" s="300"/>
      <c r="F54" s="300"/>
      <c r="G54" s="300"/>
    </row>
    <row r="55" spans="2:7" s="233" customFormat="1" ht="34.5" customHeight="1">
      <c r="B55" s="197" t="s">
        <v>560</v>
      </c>
      <c r="C55" s="301" t="s">
        <v>264</v>
      </c>
      <c r="D55" s="302">
        <v>0.22</v>
      </c>
      <c r="E55" s="212">
        <f>SUM(Cadastro!G$16:G$23,Cadastro!G$26:G$30)*D55</f>
        <v>0</v>
      </c>
      <c r="F55" s="32"/>
      <c r="G55" s="304" t="e">
        <f>F55/E55</f>
        <v>#DIV/0!</v>
      </c>
    </row>
    <row r="56" spans="2:7" s="233" customFormat="1" ht="34.5" customHeight="1">
      <c r="B56" s="198" t="s">
        <v>529</v>
      </c>
      <c r="C56" s="305" t="s">
        <v>265</v>
      </c>
      <c r="D56" s="306">
        <v>0.12</v>
      </c>
      <c r="E56" s="214">
        <f>SUM(Cadastro!G$16:G$23,Cadastro!G$26:G$30)*D56</f>
        <v>0</v>
      </c>
      <c r="F56" s="35"/>
      <c r="G56" s="316" t="e">
        <f>F56/E56</f>
        <v>#DIV/0!</v>
      </c>
    </row>
    <row r="57" spans="2:7" s="233" customFormat="1" ht="34.5" customHeight="1">
      <c r="B57" s="198" t="s">
        <v>561</v>
      </c>
      <c r="C57" s="305" t="s">
        <v>573</v>
      </c>
      <c r="D57" s="306">
        <v>0.06</v>
      </c>
      <c r="E57" s="214">
        <f>E56*D57</f>
        <v>0</v>
      </c>
      <c r="F57" s="35"/>
      <c r="G57" s="316" t="e">
        <f>F57/E57</f>
        <v>#DIV/0!</v>
      </c>
    </row>
    <row r="58" spans="2:7" s="233" customFormat="1" ht="34.5" customHeight="1">
      <c r="B58" s="198" t="s">
        <v>562</v>
      </c>
      <c r="C58" s="305" t="s">
        <v>266</v>
      </c>
      <c r="D58" s="306">
        <v>0.1</v>
      </c>
      <c r="E58" s="214">
        <f>SUM(Cadastro!G$16:G$23,Cadastro!G$26:G$30)*D58</f>
        <v>0</v>
      </c>
      <c r="F58" s="35"/>
      <c r="G58" s="316" t="e">
        <f>F58/E58</f>
        <v>#DIV/0!</v>
      </c>
    </row>
    <row r="59" spans="2:7" s="233" customFormat="1" ht="34.5" customHeight="1">
      <c r="B59" s="239" t="s">
        <v>563</v>
      </c>
      <c r="C59" s="317" t="s">
        <v>574</v>
      </c>
      <c r="D59" s="318">
        <v>0.03</v>
      </c>
      <c r="E59" s="190">
        <f>E58*D59</f>
        <v>0</v>
      </c>
      <c r="F59" s="33"/>
      <c r="G59" s="309" t="e">
        <f>F59/E59</f>
        <v>#DIV/0!</v>
      </c>
    </row>
    <row r="60" spans="2:7" s="233" customFormat="1" ht="9.75" customHeight="1" thickBot="1">
      <c r="B60" s="310"/>
      <c r="C60" s="310"/>
      <c r="D60" s="311"/>
      <c r="E60" s="312"/>
      <c r="F60" s="163"/>
      <c r="G60" s="319"/>
    </row>
    <row r="61" spans="2:7" s="233" customFormat="1" ht="19.5" customHeight="1">
      <c r="B61" s="471" t="s">
        <v>155</v>
      </c>
      <c r="C61" s="472"/>
      <c r="D61" s="472"/>
      <c r="E61" s="472"/>
      <c r="F61" s="472"/>
      <c r="G61" s="472"/>
    </row>
    <row r="62" spans="2:7" s="233" customFormat="1" ht="15" customHeight="1" thickBot="1">
      <c r="B62" s="300"/>
      <c r="C62" s="300"/>
      <c r="D62" s="300"/>
      <c r="E62" s="300"/>
      <c r="F62" s="300"/>
      <c r="G62" s="300"/>
    </row>
    <row r="63" spans="2:7" s="233" customFormat="1" ht="34.5" customHeight="1">
      <c r="B63" s="197" t="s">
        <v>568</v>
      </c>
      <c r="C63" s="301" t="s">
        <v>631</v>
      </c>
      <c r="D63" s="315">
        <v>0.3333</v>
      </c>
      <c r="E63" s="212">
        <f>SUM(Cadastro!E17:E23)*D63</f>
        <v>0</v>
      </c>
      <c r="F63" s="32"/>
      <c r="G63" s="304" t="e">
        <f>F63/E63</f>
        <v>#DIV/0!</v>
      </c>
    </row>
    <row r="64" spans="2:7" s="233" customFormat="1" ht="34.5" customHeight="1">
      <c r="B64" s="198" t="s">
        <v>569</v>
      </c>
      <c r="C64" s="305" t="s">
        <v>625</v>
      </c>
      <c r="D64" s="306">
        <v>1</v>
      </c>
      <c r="E64" s="214">
        <f>SUM(Cadastro!E20:E21)*D64</f>
        <v>0</v>
      </c>
      <c r="F64" s="35"/>
      <c r="G64" s="316" t="e">
        <f>F64/E64</f>
        <v>#DIV/0!</v>
      </c>
    </row>
    <row r="65" spans="2:7" s="233" customFormat="1" ht="34.5" customHeight="1">
      <c r="B65" s="198" t="s">
        <v>564</v>
      </c>
      <c r="C65" s="305" t="s">
        <v>626</v>
      </c>
      <c r="D65" s="306">
        <v>0.17</v>
      </c>
      <c r="E65" s="214">
        <f>E64*D65</f>
        <v>0</v>
      </c>
      <c r="F65" s="35"/>
      <c r="G65" s="316" t="e">
        <f>F65/E65</f>
        <v>#DIV/0!</v>
      </c>
    </row>
    <row r="66" spans="2:7" s="233" customFormat="1" ht="45" customHeight="1">
      <c r="B66" s="477" t="s">
        <v>570</v>
      </c>
      <c r="C66" s="305" t="s">
        <v>627</v>
      </c>
      <c r="D66" s="306">
        <v>1</v>
      </c>
      <c r="E66" s="214">
        <f>E65*D66</f>
        <v>0</v>
      </c>
      <c r="F66" s="35"/>
      <c r="G66" s="316" t="e">
        <f>F66/E66</f>
        <v>#DIV/0!</v>
      </c>
    </row>
    <row r="67" spans="2:7" s="233" customFormat="1" ht="34.5" customHeight="1">
      <c r="B67" s="478"/>
      <c r="C67" s="317" t="s">
        <v>632</v>
      </c>
      <c r="D67" s="318">
        <v>0.5</v>
      </c>
      <c r="E67" s="190">
        <f>SUM(Cadastro!E22:E23,Cadastro!E26:E27)*D67</f>
        <v>0</v>
      </c>
      <c r="F67" s="33"/>
      <c r="G67" s="309" t="e">
        <f>F67/E67</f>
        <v>#DIV/0!</v>
      </c>
    </row>
    <row r="68" spans="2:7" s="233" customFormat="1" ht="9.75" customHeight="1" thickBot="1">
      <c r="B68" s="310"/>
      <c r="C68" s="310"/>
      <c r="D68" s="311"/>
      <c r="E68" s="312"/>
      <c r="F68" s="163"/>
      <c r="G68" s="319"/>
    </row>
    <row r="69" spans="2:7" s="233" customFormat="1" ht="19.5" customHeight="1">
      <c r="B69" s="471" t="s">
        <v>156</v>
      </c>
      <c r="C69" s="472"/>
      <c r="D69" s="472"/>
      <c r="E69" s="472"/>
      <c r="F69" s="472"/>
      <c r="G69" s="472"/>
    </row>
    <row r="70" spans="2:7" s="233" customFormat="1" ht="15" customHeight="1" thickBot="1">
      <c r="B70" s="300"/>
      <c r="C70" s="300"/>
      <c r="D70" s="300"/>
      <c r="E70" s="300"/>
      <c r="F70" s="300"/>
      <c r="G70" s="300"/>
    </row>
    <row r="71" spans="2:7" s="233" customFormat="1" ht="34.5" customHeight="1">
      <c r="B71" s="197" t="s">
        <v>567</v>
      </c>
      <c r="C71" s="301" t="s">
        <v>590</v>
      </c>
      <c r="D71" s="302">
        <v>1.1</v>
      </c>
      <c r="E71" s="212">
        <f>SUM(Cadastro!G6:G7)*D71</f>
        <v>0</v>
      </c>
      <c r="F71" s="32"/>
      <c r="G71" s="304" t="e">
        <f>F71/E71</f>
        <v>#DIV/0!</v>
      </c>
    </row>
    <row r="72" spans="2:7" s="233" customFormat="1" ht="45" customHeight="1">
      <c r="B72" s="198" t="s">
        <v>593</v>
      </c>
      <c r="C72" s="305" t="s">
        <v>565</v>
      </c>
      <c r="D72" s="306">
        <v>0.85</v>
      </c>
      <c r="E72" s="214">
        <f>E$71*D72</f>
        <v>0</v>
      </c>
      <c r="F72" s="35"/>
      <c r="G72" s="316" t="e">
        <f>F72/E72</f>
        <v>#DIV/0!</v>
      </c>
    </row>
    <row r="73" spans="2:7" s="233" customFormat="1" ht="45" customHeight="1">
      <c r="B73" s="239" t="s">
        <v>594</v>
      </c>
      <c r="C73" s="317" t="s">
        <v>566</v>
      </c>
      <c r="D73" s="318">
        <v>0.15</v>
      </c>
      <c r="E73" s="190">
        <f>E$71*D73</f>
        <v>0</v>
      </c>
      <c r="F73" s="33"/>
      <c r="G73" s="309" t="e">
        <f>F73/E73</f>
        <v>#DIV/0!</v>
      </c>
    </row>
    <row r="74" spans="2:7" s="233" customFormat="1" ht="9.75" customHeight="1" thickBot="1">
      <c r="B74" s="310"/>
      <c r="C74" s="310"/>
      <c r="D74" s="311"/>
      <c r="E74" s="312"/>
      <c r="F74" s="163"/>
      <c r="G74" s="319"/>
    </row>
    <row r="75" spans="2:7" s="233" customFormat="1" ht="19.5" customHeight="1">
      <c r="B75" s="471" t="s">
        <v>157</v>
      </c>
      <c r="C75" s="472"/>
      <c r="D75" s="472"/>
      <c r="E75" s="472"/>
      <c r="F75" s="472"/>
      <c r="G75" s="472"/>
    </row>
    <row r="76" spans="2:7" s="233" customFormat="1" ht="15" customHeight="1" thickBot="1">
      <c r="B76" s="300"/>
      <c r="C76" s="300"/>
      <c r="D76" s="300"/>
      <c r="E76" s="300"/>
      <c r="F76" s="300"/>
      <c r="G76" s="300"/>
    </row>
    <row r="77" spans="2:7" s="233" customFormat="1" ht="34.5" customHeight="1">
      <c r="B77" s="197" t="s">
        <v>588</v>
      </c>
      <c r="C77" s="301" t="s">
        <v>572</v>
      </c>
      <c r="D77" s="302">
        <v>0.8</v>
      </c>
      <c r="E77" s="212">
        <f>SUM(Cadastro!G26:G29)*D77</f>
        <v>0</v>
      </c>
      <c r="F77" s="32"/>
      <c r="G77" s="304" t="e">
        <f>F77/E77</f>
        <v>#DIV/0!</v>
      </c>
    </row>
    <row r="78" spans="2:7" s="233" customFormat="1" ht="34.5" customHeight="1">
      <c r="B78" s="477" t="s">
        <v>589</v>
      </c>
      <c r="C78" s="305" t="s">
        <v>575</v>
      </c>
      <c r="D78" s="306">
        <v>1</v>
      </c>
      <c r="E78" s="214">
        <f>Cadastro!G30*D78</f>
        <v>0</v>
      </c>
      <c r="F78" s="35"/>
      <c r="G78" s="316" t="e">
        <f>F78/E78</f>
        <v>#DIV/0!</v>
      </c>
    </row>
    <row r="79" spans="2:7" s="233" customFormat="1" ht="34.5" customHeight="1">
      <c r="B79" s="478"/>
      <c r="C79" s="317" t="s">
        <v>571</v>
      </c>
      <c r="D79" s="318">
        <v>0.2</v>
      </c>
      <c r="E79" s="190">
        <f>SUM(Cadastro!G26:G29)*D79</f>
        <v>0</v>
      </c>
      <c r="F79" s="33"/>
      <c r="G79" s="309" t="e">
        <f>F79/E79</f>
        <v>#DIV/0!</v>
      </c>
    </row>
  </sheetData>
  <sheetProtection sheet="1" objects="1" scenarios="1"/>
  <mergeCells count="16">
    <mergeCell ref="B78:B79"/>
    <mergeCell ref="B20:G20"/>
    <mergeCell ref="B27:G27"/>
    <mergeCell ref="B35:G35"/>
    <mergeCell ref="B66:B67"/>
    <mergeCell ref="B41:G41"/>
    <mergeCell ref="B49:G49"/>
    <mergeCell ref="B53:G53"/>
    <mergeCell ref="B61:G61"/>
    <mergeCell ref="B69:G69"/>
    <mergeCell ref="B75:G75"/>
    <mergeCell ref="B13:G13"/>
    <mergeCell ref="B2:G2"/>
    <mergeCell ref="C4:D4"/>
    <mergeCell ref="B6:G6"/>
    <mergeCell ref="B5:G5"/>
  </mergeCells>
  <printOptions horizontalCentered="1"/>
  <pageMargins left="0.31496062992125984" right="0.31496062992125984" top="0.5118110236220472" bottom="0.3937007874015748" header="0.5118110236220472" footer="0.11811023622047245"/>
  <pageSetup horizontalDpi="300" verticalDpi="300" orientation="landscape" paperSize="9" scale="85" r:id="rId2"/>
  <rowBreaks count="2" manualBreakCount="2">
    <brk id="40" max="255" man="1"/>
    <brk id="7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B1:L26"/>
  <sheetViews>
    <sheetView zoomScale="80" zoomScaleNormal="80" zoomScaleSheetLayoutView="8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330" customWidth="1"/>
    <col min="2" max="2" width="24.7109375" style="330" customWidth="1"/>
    <col min="3" max="3" width="57.57421875" style="330" customWidth="1"/>
    <col min="4" max="4" width="17.28125" style="330" customWidth="1"/>
    <col min="5" max="5" width="2.7109375" style="330" customWidth="1"/>
    <col min="6" max="6" width="10.7109375" style="330" customWidth="1"/>
    <col min="7" max="7" width="7.7109375" style="330" customWidth="1"/>
    <col min="8" max="8" width="15.7109375" style="330" customWidth="1"/>
    <col min="9" max="9" width="7.7109375" style="330" customWidth="1"/>
    <col min="10" max="10" width="14.140625" style="330" customWidth="1"/>
    <col min="11" max="11" width="12.7109375" style="330" customWidth="1"/>
    <col min="12" max="12" width="2.7109375" style="330" customWidth="1"/>
    <col min="13" max="16384" width="9.140625" style="330" customWidth="1"/>
  </cols>
  <sheetData>
    <row r="1" spans="2:11" ht="15" customHeight="1" thickBot="1"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2:11" ht="39.75" customHeight="1">
      <c r="B2" s="466" t="s">
        <v>183</v>
      </c>
      <c r="C2" s="447"/>
      <c r="D2" s="447"/>
      <c r="E2" s="447"/>
      <c r="F2" s="447"/>
      <c r="G2" s="447"/>
      <c r="H2" s="447"/>
      <c r="I2" s="447"/>
      <c r="J2" s="447"/>
      <c r="K2" s="448"/>
    </row>
    <row r="3" spans="2:11" ht="15" customHeight="1" thickBot="1"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2:11" s="332" customFormat="1" ht="30" customHeight="1">
      <c r="B4" s="460" t="s">
        <v>184</v>
      </c>
      <c r="C4" s="461"/>
      <c r="D4" s="462"/>
      <c r="E4" s="331"/>
      <c r="F4" s="480" t="s">
        <v>349</v>
      </c>
      <c r="G4" s="455"/>
      <c r="H4" s="455"/>
      <c r="I4" s="455"/>
      <c r="J4" s="455"/>
      <c r="K4" s="456"/>
    </row>
    <row r="5" spans="2:11" s="332" customFormat="1" ht="39.75" customHeight="1">
      <c r="B5" s="232" t="s">
        <v>189</v>
      </c>
      <c r="C5" s="186" t="s">
        <v>478</v>
      </c>
      <c r="D5" s="333" t="s">
        <v>185</v>
      </c>
      <c r="E5" s="334"/>
      <c r="F5" s="335" t="s">
        <v>505</v>
      </c>
      <c r="G5" s="459" t="s">
        <v>245</v>
      </c>
      <c r="H5" s="459"/>
      <c r="I5" s="459" t="s">
        <v>212</v>
      </c>
      <c r="J5" s="459"/>
      <c r="K5" s="336" t="s">
        <v>211</v>
      </c>
    </row>
    <row r="6" spans="2:11" s="332" customFormat="1" ht="15" customHeight="1" thickBot="1"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2:11" s="332" customFormat="1" ht="30" customHeight="1">
      <c r="B7" s="463" t="s">
        <v>462</v>
      </c>
      <c r="C7" s="464"/>
      <c r="D7" s="464"/>
      <c r="E7" s="464"/>
      <c r="F7" s="464"/>
      <c r="G7" s="464"/>
      <c r="H7" s="464"/>
      <c r="I7" s="464"/>
      <c r="J7" s="464"/>
      <c r="K7" s="465"/>
    </row>
    <row r="8" spans="2:11" s="332" customFormat="1" ht="15" customHeight="1" thickBot="1">
      <c r="B8" s="150"/>
      <c r="C8" s="150"/>
      <c r="D8" s="150"/>
      <c r="E8" s="150"/>
      <c r="F8" s="150"/>
      <c r="G8" s="150"/>
      <c r="H8" s="150"/>
      <c r="I8" s="150"/>
      <c r="J8" s="150"/>
      <c r="K8" s="150"/>
    </row>
    <row r="9" spans="2:11" ht="108.75" customHeight="1">
      <c r="B9" s="237" t="s">
        <v>225</v>
      </c>
      <c r="C9" s="238" t="s">
        <v>226</v>
      </c>
      <c r="D9" s="337" t="s">
        <v>186</v>
      </c>
      <c r="E9" s="152"/>
      <c r="F9" s="39"/>
      <c r="G9" s="338">
        <f>'Sit.Saúde'!E$71*F9</f>
        <v>0</v>
      </c>
      <c r="H9" s="339" t="s">
        <v>213</v>
      </c>
      <c r="I9" s="196">
        <f>G9*1</f>
        <v>0</v>
      </c>
      <c r="J9" s="340" t="s">
        <v>204</v>
      </c>
      <c r="K9" s="337" t="s">
        <v>224</v>
      </c>
    </row>
    <row r="10" spans="2:11" ht="103.5" customHeight="1">
      <c r="B10" s="236" t="s">
        <v>227</v>
      </c>
      <c r="C10" s="235" t="s">
        <v>228</v>
      </c>
      <c r="D10" s="341" t="s">
        <v>187</v>
      </c>
      <c r="E10" s="152"/>
      <c r="F10" s="66"/>
      <c r="G10" s="342">
        <f>'Sit.Saúde'!E$71*F10</f>
        <v>0</v>
      </c>
      <c r="H10" s="343" t="s">
        <v>213</v>
      </c>
      <c r="I10" s="189">
        <f>G10*1</f>
        <v>0</v>
      </c>
      <c r="J10" s="344" t="s">
        <v>205</v>
      </c>
      <c r="K10" s="337" t="s">
        <v>224</v>
      </c>
    </row>
    <row r="11" spans="2:11" ht="68.25" customHeight="1">
      <c r="B11" s="458" t="s">
        <v>229</v>
      </c>
      <c r="C11" s="457" t="s">
        <v>230</v>
      </c>
      <c r="D11" s="341" t="s">
        <v>206</v>
      </c>
      <c r="E11" s="152"/>
      <c r="F11" s="66"/>
      <c r="G11" s="342">
        <f>'Sit.Saúde'!E$71*F11</f>
        <v>0</v>
      </c>
      <c r="H11" s="343" t="s">
        <v>350</v>
      </c>
      <c r="I11" s="189">
        <f>G11*3</f>
        <v>0</v>
      </c>
      <c r="J11" s="344" t="s">
        <v>207</v>
      </c>
      <c r="K11" s="337" t="s">
        <v>224</v>
      </c>
    </row>
    <row r="12" spans="2:11" ht="68.25" customHeight="1">
      <c r="B12" s="458"/>
      <c r="C12" s="457"/>
      <c r="D12" s="341" t="s">
        <v>188</v>
      </c>
      <c r="E12" s="152"/>
      <c r="F12" s="66"/>
      <c r="G12" s="342">
        <f>'Sit.Saúde'!E$71*F12</f>
        <v>0</v>
      </c>
      <c r="H12" s="343" t="s">
        <v>350</v>
      </c>
      <c r="I12" s="189">
        <f>G12*4</f>
        <v>0</v>
      </c>
      <c r="J12" s="344" t="s">
        <v>208</v>
      </c>
      <c r="K12" s="337" t="s">
        <v>224</v>
      </c>
    </row>
    <row r="13" spans="2:11" ht="102.75" customHeight="1">
      <c r="B13" s="236" t="s">
        <v>231</v>
      </c>
      <c r="C13" s="235" t="s">
        <v>233</v>
      </c>
      <c r="D13" s="341" t="s">
        <v>187</v>
      </c>
      <c r="E13" s="152"/>
      <c r="F13" s="66"/>
      <c r="G13" s="342">
        <f>'Sit.Saúde'!E$71*F13</f>
        <v>0</v>
      </c>
      <c r="H13" s="343" t="s">
        <v>350</v>
      </c>
      <c r="I13" s="189">
        <f>G13*12</f>
        <v>0</v>
      </c>
      <c r="J13" s="344" t="s">
        <v>209</v>
      </c>
      <c r="K13" s="337" t="s">
        <v>224</v>
      </c>
    </row>
    <row r="14" spans="2:11" ht="84.75" customHeight="1">
      <c r="B14" s="458" t="s">
        <v>232</v>
      </c>
      <c r="C14" s="457" t="s">
        <v>234</v>
      </c>
      <c r="D14" s="341" t="s">
        <v>206</v>
      </c>
      <c r="E14" s="152"/>
      <c r="F14" s="66"/>
      <c r="G14" s="342">
        <f>'Sit.Saúde'!E$71*F14</f>
        <v>0</v>
      </c>
      <c r="H14" s="343" t="s">
        <v>350</v>
      </c>
      <c r="I14" s="189">
        <f>G14/20*2</f>
        <v>0</v>
      </c>
      <c r="J14" s="344" t="s">
        <v>210</v>
      </c>
      <c r="K14" s="337" t="s">
        <v>224</v>
      </c>
    </row>
    <row r="15" spans="2:11" ht="84.75" customHeight="1">
      <c r="B15" s="450"/>
      <c r="C15" s="449"/>
      <c r="D15" s="234" t="s">
        <v>188</v>
      </c>
      <c r="E15" s="152"/>
      <c r="F15" s="67"/>
      <c r="G15" s="345">
        <f>'Sit.Saúde'!E$71*F15</f>
        <v>0</v>
      </c>
      <c r="H15" s="346" t="s">
        <v>350</v>
      </c>
      <c r="I15" s="191">
        <f>G15/20*2</f>
        <v>0</v>
      </c>
      <c r="J15" s="347" t="s">
        <v>210</v>
      </c>
      <c r="K15" s="348" t="s">
        <v>224</v>
      </c>
    </row>
    <row r="16" spans="2:11" ht="15" customHeight="1" thickBot="1">
      <c r="B16" s="349"/>
      <c r="C16" s="349"/>
      <c r="D16" s="152"/>
      <c r="E16" s="152"/>
      <c r="F16" s="152"/>
      <c r="G16" s="185"/>
      <c r="H16" s="161"/>
      <c r="I16" s="185"/>
      <c r="J16" s="161"/>
      <c r="K16" s="152"/>
    </row>
    <row r="17" spans="2:11" ht="30" customHeight="1">
      <c r="B17" s="463" t="s">
        <v>214</v>
      </c>
      <c r="C17" s="464"/>
      <c r="D17" s="464"/>
      <c r="E17" s="464"/>
      <c r="F17" s="464"/>
      <c r="G17" s="464"/>
      <c r="H17" s="464"/>
      <c r="I17" s="464"/>
      <c r="J17" s="464"/>
      <c r="K17" s="465"/>
    </row>
    <row r="18" spans="2:11" ht="15" customHeight="1" thickBot="1">
      <c r="B18" s="349"/>
      <c r="C18" s="349"/>
      <c r="D18" s="152"/>
      <c r="E18" s="152"/>
      <c r="F18" s="152"/>
      <c r="G18" s="185"/>
      <c r="H18" s="161"/>
      <c r="I18" s="185"/>
      <c r="J18" s="161"/>
      <c r="K18" s="152"/>
    </row>
    <row r="19" spans="2:11" ht="60" customHeight="1">
      <c r="B19" s="451" t="s">
        <v>235</v>
      </c>
      <c r="C19" s="452" t="s">
        <v>236</v>
      </c>
      <c r="D19" s="337" t="s">
        <v>206</v>
      </c>
      <c r="E19" s="152"/>
      <c r="F19" s="39"/>
      <c r="G19" s="338">
        <f>'Sit.Saúde'!E8*F19</f>
        <v>0</v>
      </c>
      <c r="H19" s="339" t="s">
        <v>166</v>
      </c>
      <c r="I19" s="212">
        <f>G19*3</f>
        <v>0</v>
      </c>
      <c r="J19" s="339" t="s">
        <v>207</v>
      </c>
      <c r="K19" s="337" t="s">
        <v>224</v>
      </c>
    </row>
    <row r="20" spans="2:11" ht="60" customHeight="1">
      <c r="B20" s="458"/>
      <c r="C20" s="457"/>
      <c r="D20" s="341" t="s">
        <v>188</v>
      </c>
      <c r="E20" s="152"/>
      <c r="F20" s="40"/>
      <c r="G20" s="342">
        <f>'Sit.Saúde'!E8*F20</f>
        <v>0</v>
      </c>
      <c r="H20" s="343" t="s">
        <v>166</v>
      </c>
      <c r="I20" s="214">
        <f>G20*2</f>
        <v>0</v>
      </c>
      <c r="J20" s="343" t="s">
        <v>208</v>
      </c>
      <c r="K20" s="341" t="s">
        <v>224</v>
      </c>
    </row>
    <row r="21" spans="2:11" ht="60" customHeight="1">
      <c r="B21" s="458"/>
      <c r="C21" s="457"/>
      <c r="D21" s="341" t="s">
        <v>206</v>
      </c>
      <c r="E21" s="152"/>
      <c r="F21" s="40"/>
      <c r="G21" s="342">
        <f>'Sit.Saúde'!E10*F21</f>
        <v>0</v>
      </c>
      <c r="H21" s="343" t="s">
        <v>393</v>
      </c>
      <c r="I21" s="214">
        <f>G21*3</f>
        <v>0</v>
      </c>
      <c r="J21" s="343" t="s">
        <v>207</v>
      </c>
      <c r="K21" s="341" t="s">
        <v>224</v>
      </c>
    </row>
    <row r="22" spans="2:11" ht="60" customHeight="1">
      <c r="B22" s="458"/>
      <c r="C22" s="457"/>
      <c r="D22" s="341" t="s">
        <v>188</v>
      </c>
      <c r="E22" s="152"/>
      <c r="F22" s="40"/>
      <c r="G22" s="342">
        <f>'Sit.Saúde'!E10*F22</f>
        <v>0</v>
      </c>
      <c r="H22" s="343" t="s">
        <v>393</v>
      </c>
      <c r="I22" s="214">
        <f>G22*2</f>
        <v>0</v>
      </c>
      <c r="J22" s="343" t="s">
        <v>208</v>
      </c>
      <c r="K22" s="341" t="s">
        <v>224</v>
      </c>
    </row>
    <row r="23" spans="2:11" ht="86.25" customHeight="1">
      <c r="B23" s="458" t="s">
        <v>237</v>
      </c>
      <c r="C23" s="457" t="s">
        <v>239</v>
      </c>
      <c r="D23" s="341" t="s">
        <v>206</v>
      </c>
      <c r="E23" s="152"/>
      <c r="F23" s="40"/>
      <c r="G23" s="342">
        <f>'Sit.Saúde'!E11*F23</f>
        <v>0</v>
      </c>
      <c r="H23" s="343" t="s">
        <v>394</v>
      </c>
      <c r="I23" s="214">
        <f>G23*1</f>
        <v>0</v>
      </c>
      <c r="J23" s="343" t="s">
        <v>207</v>
      </c>
      <c r="K23" s="341" t="s">
        <v>224</v>
      </c>
    </row>
    <row r="24" spans="2:11" ht="86.25" customHeight="1">
      <c r="B24" s="458"/>
      <c r="C24" s="457"/>
      <c r="D24" s="341" t="s">
        <v>188</v>
      </c>
      <c r="E24" s="152"/>
      <c r="F24" s="40"/>
      <c r="G24" s="342">
        <f>'Sit.Saúde'!E11*F24</f>
        <v>0</v>
      </c>
      <c r="H24" s="343" t="s">
        <v>394</v>
      </c>
      <c r="I24" s="214">
        <f>G24*1</f>
        <v>0</v>
      </c>
      <c r="J24" s="343" t="s">
        <v>208</v>
      </c>
      <c r="K24" s="341" t="s">
        <v>224</v>
      </c>
    </row>
    <row r="25" spans="2:11" ht="84.75" customHeight="1">
      <c r="B25" s="458" t="s">
        <v>240</v>
      </c>
      <c r="C25" s="457" t="s">
        <v>241</v>
      </c>
      <c r="D25" s="341" t="s">
        <v>206</v>
      </c>
      <c r="E25" s="152"/>
      <c r="F25" s="40"/>
      <c r="G25" s="342">
        <f>SUM('Sit.Saúde'!E10:E11)*F25</f>
        <v>0</v>
      </c>
      <c r="H25" s="343" t="s">
        <v>492</v>
      </c>
      <c r="I25" s="214">
        <f>G25/20*2</f>
        <v>0</v>
      </c>
      <c r="J25" s="343" t="s">
        <v>210</v>
      </c>
      <c r="K25" s="341" t="s">
        <v>224</v>
      </c>
    </row>
    <row r="26" spans="2:12" ht="84.75" customHeight="1">
      <c r="B26" s="450"/>
      <c r="C26" s="449"/>
      <c r="D26" s="234" t="s">
        <v>188</v>
      </c>
      <c r="E26" s="152"/>
      <c r="F26" s="41"/>
      <c r="G26" s="345">
        <f>SUM('Sit.Saúde'!E10:E11)*F26</f>
        <v>0</v>
      </c>
      <c r="H26" s="346" t="s">
        <v>492</v>
      </c>
      <c r="I26" s="190">
        <f>G26/20*2</f>
        <v>0</v>
      </c>
      <c r="J26" s="346" t="s">
        <v>210</v>
      </c>
      <c r="K26" s="234" t="s">
        <v>224</v>
      </c>
      <c r="L26" s="330" t="s">
        <v>242</v>
      </c>
    </row>
  </sheetData>
  <sheetProtection sheet="1" objects="1" scenarios="1"/>
  <mergeCells count="18">
    <mergeCell ref="C25:C26"/>
    <mergeCell ref="B25:B26"/>
    <mergeCell ref="I5:J5"/>
    <mergeCell ref="B17:K17"/>
    <mergeCell ref="C14:C15"/>
    <mergeCell ref="B14:B15"/>
    <mergeCell ref="B23:B24"/>
    <mergeCell ref="C23:C24"/>
    <mergeCell ref="B19:B22"/>
    <mergeCell ref="C19:C22"/>
    <mergeCell ref="B1:K1"/>
    <mergeCell ref="F4:K4"/>
    <mergeCell ref="C11:C12"/>
    <mergeCell ref="B11:B12"/>
    <mergeCell ref="G5:H5"/>
    <mergeCell ref="B4:D4"/>
    <mergeCell ref="B7:K7"/>
    <mergeCell ref="B2:K2"/>
  </mergeCells>
  <printOptions/>
  <pageMargins left="0.31496062992125984" right="0.2" top="0.36" bottom="0.21" header="0.29" footer="0.21"/>
  <pageSetup horizontalDpi="300" verticalDpi="300" orientation="landscape" paperSize="9" scale="80" r:id="rId2"/>
  <rowBreaks count="1" manualBreakCount="1">
    <brk id="1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B2:K22"/>
  <sheetViews>
    <sheetView zoomScale="80" zoomScaleNormal="80" zoomScaleSheetLayoutView="9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2" customWidth="1"/>
    <col min="2" max="2" width="24.7109375" style="42" customWidth="1"/>
    <col min="3" max="3" width="57.28125" style="42" customWidth="1"/>
    <col min="4" max="4" width="17.421875" style="42" customWidth="1"/>
    <col min="5" max="5" width="2.7109375" style="42" customWidth="1"/>
    <col min="6" max="6" width="10.7109375" style="42" customWidth="1"/>
    <col min="7" max="7" width="7.7109375" style="42" customWidth="1"/>
    <col min="8" max="8" width="15.7109375" style="42" customWidth="1"/>
    <col min="9" max="9" width="7.7109375" style="42" customWidth="1"/>
    <col min="10" max="10" width="13.8515625" style="42" customWidth="1"/>
    <col min="11" max="11" width="12.7109375" style="42" customWidth="1"/>
    <col min="12" max="12" width="2.7109375" style="42" customWidth="1"/>
    <col min="13" max="16384" width="9.140625" style="42" customWidth="1"/>
  </cols>
  <sheetData>
    <row r="1" ht="15" thickBot="1"/>
    <row r="2" spans="2:11" ht="39.75" customHeight="1">
      <c r="B2" s="439" t="s">
        <v>398</v>
      </c>
      <c r="C2" s="440"/>
      <c r="D2" s="440"/>
      <c r="E2" s="440"/>
      <c r="F2" s="440"/>
      <c r="G2" s="440"/>
      <c r="H2" s="440"/>
      <c r="I2" s="440"/>
      <c r="J2" s="440"/>
      <c r="K2" s="441"/>
    </row>
    <row r="3" spans="2:11" ht="15" customHeight="1" thickBot="1"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2:11" ht="30" customHeight="1">
      <c r="B4" s="427" t="s">
        <v>184</v>
      </c>
      <c r="C4" s="428"/>
      <c r="D4" s="429"/>
      <c r="E4" s="44"/>
      <c r="F4" s="445" t="s">
        <v>349</v>
      </c>
      <c r="G4" s="446"/>
      <c r="H4" s="446"/>
      <c r="I4" s="446"/>
      <c r="J4" s="446"/>
      <c r="K4" s="426"/>
    </row>
    <row r="5" spans="2:11" ht="39.75" customHeight="1">
      <c r="B5" s="68" t="s">
        <v>189</v>
      </c>
      <c r="C5" s="17" t="s">
        <v>478</v>
      </c>
      <c r="D5" s="69" t="s">
        <v>185</v>
      </c>
      <c r="E5" s="44"/>
      <c r="F5" s="144" t="s">
        <v>505</v>
      </c>
      <c r="G5" s="444" t="s">
        <v>245</v>
      </c>
      <c r="H5" s="444"/>
      <c r="I5" s="444" t="s">
        <v>212</v>
      </c>
      <c r="J5" s="444"/>
      <c r="K5" s="145" t="s">
        <v>211</v>
      </c>
    </row>
    <row r="6" spans="2:11" ht="15" customHeight="1" thickBot="1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2:11" ht="30" customHeight="1">
      <c r="B7" s="463" t="s">
        <v>243</v>
      </c>
      <c r="C7" s="464"/>
      <c r="D7" s="464"/>
      <c r="E7" s="464"/>
      <c r="F7" s="464"/>
      <c r="G7" s="464"/>
      <c r="H7" s="464"/>
      <c r="I7" s="464"/>
      <c r="J7" s="464"/>
      <c r="K7" s="465"/>
    </row>
    <row r="8" spans="2:11" ht="15" customHeight="1" thickBot="1"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2:11" ht="97.5" customHeight="1">
      <c r="B9" s="45" t="s">
        <v>416</v>
      </c>
      <c r="C9" s="46" t="s">
        <v>417</v>
      </c>
      <c r="D9" s="47" t="s">
        <v>206</v>
      </c>
      <c r="E9" s="76"/>
      <c r="F9" s="80"/>
      <c r="G9" s="49">
        <f>Cadastro!G12*F9</f>
        <v>0</v>
      </c>
      <c r="H9" s="50" t="s">
        <v>503</v>
      </c>
      <c r="I9" s="71">
        <f>G9*1</f>
        <v>0</v>
      </c>
      <c r="J9" s="50" t="s">
        <v>501</v>
      </c>
      <c r="K9" s="47" t="s">
        <v>488</v>
      </c>
    </row>
    <row r="10" spans="2:11" ht="77.25" customHeight="1">
      <c r="B10" s="454" t="s">
        <v>418</v>
      </c>
      <c r="C10" s="453" t="s">
        <v>419</v>
      </c>
      <c r="D10" s="53" t="s">
        <v>206</v>
      </c>
      <c r="E10" s="76"/>
      <c r="F10" s="81"/>
      <c r="G10" s="77">
        <f>SUM(Cadastro!G$12:G$13)*F10</f>
        <v>0</v>
      </c>
      <c r="H10" s="55" t="s">
        <v>502</v>
      </c>
      <c r="I10" s="34">
        <f>G10/20*1</f>
        <v>0</v>
      </c>
      <c r="J10" s="55" t="s">
        <v>210</v>
      </c>
      <c r="K10" s="53" t="s">
        <v>488</v>
      </c>
    </row>
    <row r="11" spans="2:11" ht="77.25" customHeight="1">
      <c r="B11" s="454"/>
      <c r="C11" s="453"/>
      <c r="D11" s="53" t="s">
        <v>188</v>
      </c>
      <c r="E11" s="76"/>
      <c r="F11" s="81"/>
      <c r="G11" s="77">
        <f>SUM(Cadastro!G$12:G$13)*F11</f>
        <v>0</v>
      </c>
      <c r="H11" s="55" t="s">
        <v>502</v>
      </c>
      <c r="I11" s="34">
        <f>G11/20*1</f>
        <v>0</v>
      </c>
      <c r="J11" s="55" t="s">
        <v>210</v>
      </c>
      <c r="K11" s="53" t="s">
        <v>488</v>
      </c>
    </row>
    <row r="12" spans="2:11" ht="52.5" customHeight="1">
      <c r="B12" s="454" t="s">
        <v>420</v>
      </c>
      <c r="C12" s="453" t="s">
        <v>423</v>
      </c>
      <c r="D12" s="53" t="s">
        <v>187</v>
      </c>
      <c r="E12" s="78"/>
      <c r="F12" s="81"/>
      <c r="G12" s="54">
        <f>Cadastro!G12/5*F12</f>
        <v>0</v>
      </c>
      <c r="H12" s="55" t="s">
        <v>297</v>
      </c>
      <c r="I12" s="34">
        <f>G12*1</f>
        <v>0</v>
      </c>
      <c r="J12" s="55" t="s">
        <v>209</v>
      </c>
      <c r="K12" s="53" t="s">
        <v>488</v>
      </c>
    </row>
    <row r="13" spans="2:11" ht="52.5" customHeight="1">
      <c r="B13" s="437"/>
      <c r="C13" s="438"/>
      <c r="D13" s="58" t="s">
        <v>187</v>
      </c>
      <c r="E13" s="78"/>
      <c r="F13" s="82"/>
      <c r="G13" s="59">
        <f>Cadastro!G13/5*F13</f>
        <v>0</v>
      </c>
      <c r="H13" s="60" t="s">
        <v>298</v>
      </c>
      <c r="I13" s="31">
        <f>G13*1</f>
        <v>0</v>
      </c>
      <c r="J13" s="60" t="s">
        <v>209</v>
      </c>
      <c r="K13" s="58" t="s">
        <v>488</v>
      </c>
    </row>
    <row r="14" spans="2:11" ht="15" customHeight="1" thickBot="1">
      <c r="B14" s="62"/>
      <c r="C14" s="62"/>
      <c r="D14" s="48"/>
      <c r="E14" s="78"/>
      <c r="F14" s="79"/>
      <c r="G14" s="64"/>
      <c r="H14" s="65"/>
      <c r="I14" s="64"/>
      <c r="J14" s="65"/>
      <c r="K14" s="48"/>
    </row>
    <row r="15" spans="2:11" ht="30" customHeight="1">
      <c r="B15" s="463" t="s">
        <v>244</v>
      </c>
      <c r="C15" s="464"/>
      <c r="D15" s="464"/>
      <c r="E15" s="464"/>
      <c r="F15" s="464"/>
      <c r="G15" s="464"/>
      <c r="H15" s="464"/>
      <c r="I15" s="464"/>
      <c r="J15" s="464"/>
      <c r="K15" s="465"/>
    </row>
    <row r="16" spans="2:11" ht="15" customHeight="1" thickBot="1">
      <c r="B16" s="62"/>
      <c r="C16" s="62"/>
      <c r="D16" s="48"/>
      <c r="E16" s="78"/>
      <c r="F16" s="79"/>
      <c r="G16" s="64"/>
      <c r="H16" s="65"/>
      <c r="I16" s="64"/>
      <c r="J16" s="65"/>
      <c r="K16" s="48"/>
    </row>
    <row r="17" spans="2:11" ht="114" customHeight="1">
      <c r="B17" s="443" t="s">
        <v>424</v>
      </c>
      <c r="C17" s="442" t="s">
        <v>430</v>
      </c>
      <c r="D17" s="47" t="s">
        <v>206</v>
      </c>
      <c r="E17" s="78"/>
      <c r="F17" s="80"/>
      <c r="G17" s="49">
        <f>Cadastro!E$13*F17</f>
        <v>0</v>
      </c>
      <c r="H17" s="50" t="s">
        <v>396</v>
      </c>
      <c r="I17" s="36">
        <f>G17*1</f>
        <v>0</v>
      </c>
      <c r="J17" s="50" t="s">
        <v>501</v>
      </c>
      <c r="K17" s="47" t="s">
        <v>488</v>
      </c>
    </row>
    <row r="18" spans="2:11" ht="114" customHeight="1">
      <c r="B18" s="454"/>
      <c r="C18" s="453"/>
      <c r="D18" s="53" t="s">
        <v>188</v>
      </c>
      <c r="E18" s="78"/>
      <c r="F18" s="81"/>
      <c r="G18" s="49">
        <f>Cadastro!E$13*F18</f>
        <v>0</v>
      </c>
      <c r="H18" s="55" t="s">
        <v>396</v>
      </c>
      <c r="I18" s="34">
        <f>G18*1</f>
        <v>0</v>
      </c>
      <c r="J18" s="55" t="s">
        <v>208</v>
      </c>
      <c r="K18" s="53" t="s">
        <v>488</v>
      </c>
    </row>
    <row r="19" spans="2:11" ht="66" customHeight="1">
      <c r="B19" s="454" t="s">
        <v>449</v>
      </c>
      <c r="C19" s="453" t="s">
        <v>450</v>
      </c>
      <c r="D19" s="53" t="s">
        <v>206</v>
      </c>
      <c r="E19" s="76"/>
      <c r="F19" s="81"/>
      <c r="G19" s="54">
        <f>('Sit.Saúde'!E$17)*F19</f>
        <v>0</v>
      </c>
      <c r="H19" s="55" t="s">
        <v>502</v>
      </c>
      <c r="I19" s="34">
        <f>G19/20*1</f>
        <v>0</v>
      </c>
      <c r="J19" s="55" t="s">
        <v>210</v>
      </c>
      <c r="K19" s="53" t="s">
        <v>488</v>
      </c>
    </row>
    <row r="20" spans="2:11" ht="66" customHeight="1">
      <c r="B20" s="454"/>
      <c r="C20" s="453"/>
      <c r="D20" s="53" t="s">
        <v>188</v>
      </c>
      <c r="E20" s="76"/>
      <c r="F20" s="81"/>
      <c r="G20" s="54">
        <f>('Sit.Saúde'!E$17)*F20</f>
        <v>0</v>
      </c>
      <c r="H20" s="55" t="s">
        <v>502</v>
      </c>
      <c r="I20" s="34">
        <f>G20/20*1</f>
        <v>0</v>
      </c>
      <c r="J20" s="55" t="s">
        <v>210</v>
      </c>
      <c r="K20" s="53" t="s">
        <v>488</v>
      </c>
    </row>
    <row r="21" spans="2:11" ht="81.75" customHeight="1">
      <c r="B21" s="454" t="s">
        <v>451</v>
      </c>
      <c r="C21" s="453" t="s">
        <v>630</v>
      </c>
      <c r="D21" s="53" t="s">
        <v>206</v>
      </c>
      <c r="E21" s="76"/>
      <c r="F21" s="81"/>
      <c r="G21" s="54">
        <f>'Sit.Saúde'!E16*F21</f>
        <v>0</v>
      </c>
      <c r="H21" s="55" t="s">
        <v>502</v>
      </c>
      <c r="I21" s="34">
        <f>G21*1</f>
        <v>0</v>
      </c>
      <c r="J21" s="55" t="s">
        <v>501</v>
      </c>
      <c r="K21" s="53" t="s">
        <v>488</v>
      </c>
    </row>
    <row r="22" spans="2:11" ht="81.75" customHeight="1">
      <c r="B22" s="437"/>
      <c r="C22" s="438"/>
      <c r="D22" s="58" t="s">
        <v>188</v>
      </c>
      <c r="E22" s="76"/>
      <c r="F22" s="82"/>
      <c r="G22" s="208">
        <f>'Sit.Saúde'!E16*F22</f>
        <v>0</v>
      </c>
      <c r="H22" s="60" t="s">
        <v>502</v>
      </c>
      <c r="I22" s="31">
        <f>G22*2</f>
        <v>0</v>
      </c>
      <c r="J22" s="60" t="s">
        <v>208</v>
      </c>
      <c r="K22" s="58" t="s">
        <v>488</v>
      </c>
    </row>
  </sheetData>
  <sheetProtection sheet="1" objects="1" scenarios="1"/>
  <mergeCells count="17">
    <mergeCell ref="B7:K7"/>
    <mergeCell ref="B15:K15"/>
    <mergeCell ref="B2:K2"/>
    <mergeCell ref="C17:C18"/>
    <mergeCell ref="B17:B18"/>
    <mergeCell ref="G5:H5"/>
    <mergeCell ref="I5:J5"/>
    <mergeCell ref="F4:K4"/>
    <mergeCell ref="B4:D4"/>
    <mergeCell ref="B10:B11"/>
    <mergeCell ref="C10:C11"/>
    <mergeCell ref="B21:B22"/>
    <mergeCell ref="B19:B20"/>
    <mergeCell ref="C21:C22"/>
    <mergeCell ref="C19:C20"/>
    <mergeCell ref="B12:B13"/>
    <mergeCell ref="C12:C13"/>
  </mergeCells>
  <printOptions/>
  <pageMargins left="0.31496062992125984" right="0.31496062992125984" top="0.5905511811023623" bottom="0.5905511811023623" header="0.5118110236220472" footer="0.5118110236220472"/>
  <pageSetup horizontalDpi="300" verticalDpi="300" orientation="landscape" paperSize="9" scale="70" r:id="rId2"/>
  <rowBreaks count="1" manualBreakCount="1">
    <brk id="1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>
    <outlinePr summaryBelow="0" summaryRight="0"/>
  </sheetPr>
  <dimension ref="B1:M86"/>
  <sheetViews>
    <sheetView zoomScale="80" zoomScaleNormal="80" zoomScaleSheetLayoutView="9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2" customWidth="1"/>
    <col min="2" max="2" width="24.7109375" style="42" customWidth="1"/>
    <col min="3" max="3" width="57.00390625" style="42" customWidth="1"/>
    <col min="4" max="4" width="17.28125" style="42" customWidth="1"/>
    <col min="5" max="5" width="2.7109375" style="42" customWidth="1"/>
    <col min="6" max="6" width="10.7109375" style="42" customWidth="1"/>
    <col min="7" max="7" width="7.7109375" style="42" customWidth="1"/>
    <col min="8" max="8" width="16.421875" style="42" customWidth="1"/>
    <col min="9" max="9" width="7.7109375" style="42" customWidth="1"/>
    <col min="10" max="10" width="14.57421875" style="42" customWidth="1"/>
    <col min="11" max="11" width="12.7109375" style="42" customWidth="1"/>
    <col min="12" max="12" width="2.7109375" style="42" customWidth="1"/>
    <col min="13" max="13" width="16.00390625" style="42" customWidth="1"/>
    <col min="14" max="16384" width="9.140625" style="42" customWidth="1"/>
  </cols>
  <sheetData>
    <row r="1" spans="2:11" ht="15" customHeight="1" thickBot="1"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2:11" ht="39.75" customHeight="1">
      <c r="B2" s="439" t="s">
        <v>397</v>
      </c>
      <c r="C2" s="440"/>
      <c r="D2" s="440"/>
      <c r="E2" s="440"/>
      <c r="F2" s="440"/>
      <c r="G2" s="440"/>
      <c r="H2" s="440"/>
      <c r="I2" s="440"/>
      <c r="J2" s="440"/>
      <c r="K2" s="441"/>
    </row>
    <row r="3" spans="2:11" ht="15" customHeight="1" thickBo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2:11" ht="30" customHeight="1">
      <c r="B4" s="427" t="s">
        <v>184</v>
      </c>
      <c r="C4" s="428"/>
      <c r="D4" s="429"/>
      <c r="E4" s="431"/>
      <c r="F4" s="445" t="s">
        <v>349</v>
      </c>
      <c r="G4" s="446"/>
      <c r="H4" s="446"/>
      <c r="I4" s="446"/>
      <c r="J4" s="446"/>
      <c r="K4" s="426"/>
    </row>
    <row r="5" spans="2:11" ht="39.75" customHeight="1">
      <c r="B5" s="68" t="s">
        <v>189</v>
      </c>
      <c r="C5" s="17" t="s">
        <v>478</v>
      </c>
      <c r="D5" s="69" t="s">
        <v>185</v>
      </c>
      <c r="E5" s="431"/>
      <c r="F5" s="144" t="s">
        <v>505</v>
      </c>
      <c r="G5" s="444" t="s">
        <v>245</v>
      </c>
      <c r="H5" s="444"/>
      <c r="I5" s="444" t="s">
        <v>212</v>
      </c>
      <c r="J5" s="444"/>
      <c r="K5" s="145" t="s">
        <v>211</v>
      </c>
    </row>
    <row r="6" spans="2:11" ht="15" customHeight="1" thickBot="1">
      <c r="B6" s="430"/>
      <c r="C6" s="430"/>
      <c r="D6" s="430"/>
      <c r="E6" s="430"/>
      <c r="F6" s="430"/>
      <c r="G6" s="430"/>
      <c r="H6" s="430"/>
      <c r="I6" s="430"/>
      <c r="J6" s="430"/>
      <c r="K6" s="430"/>
    </row>
    <row r="7" spans="2:11" ht="30" customHeight="1">
      <c r="B7" s="463" t="s">
        <v>461</v>
      </c>
      <c r="C7" s="464"/>
      <c r="D7" s="464"/>
      <c r="E7" s="464"/>
      <c r="F7" s="464"/>
      <c r="G7" s="464"/>
      <c r="H7" s="464"/>
      <c r="I7" s="464"/>
      <c r="J7" s="464"/>
      <c r="K7" s="465"/>
    </row>
    <row r="8" spans="2:11" ht="15" customHeight="1" thickBo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45.75" customHeight="1">
      <c r="B9" s="443" t="s">
        <v>459</v>
      </c>
      <c r="C9" s="442" t="s">
        <v>460</v>
      </c>
      <c r="D9" s="47" t="s">
        <v>206</v>
      </c>
      <c r="E9" s="76"/>
      <c r="F9" s="80"/>
      <c r="G9" s="49">
        <f>'Sit.Saúde'!E23*F9</f>
        <v>0</v>
      </c>
      <c r="H9" s="86" t="s">
        <v>399</v>
      </c>
      <c r="I9" s="36">
        <f>G9/20*1</f>
        <v>0</v>
      </c>
      <c r="J9" s="50" t="s">
        <v>210</v>
      </c>
      <c r="K9" s="47" t="s">
        <v>488</v>
      </c>
    </row>
    <row r="10" spans="2:11" ht="45.75" customHeight="1">
      <c r="B10" s="454"/>
      <c r="C10" s="453"/>
      <c r="D10" s="53" t="s">
        <v>188</v>
      </c>
      <c r="E10" s="76"/>
      <c r="F10" s="81"/>
      <c r="G10" s="54">
        <f>'Sit.Saúde'!E23*F10</f>
        <v>0</v>
      </c>
      <c r="H10" s="87" t="s">
        <v>399</v>
      </c>
      <c r="I10" s="34">
        <f>G10/20*1</f>
        <v>0</v>
      </c>
      <c r="J10" s="55" t="s">
        <v>210</v>
      </c>
      <c r="K10" s="53" t="s">
        <v>488</v>
      </c>
    </row>
    <row r="11" spans="2:11" ht="45.75" customHeight="1">
      <c r="B11" s="454"/>
      <c r="C11" s="453"/>
      <c r="D11" s="53" t="s">
        <v>206</v>
      </c>
      <c r="E11" s="76"/>
      <c r="F11" s="81"/>
      <c r="G11" s="54">
        <f>'Sit.Saúde'!E$24*F11</f>
        <v>0</v>
      </c>
      <c r="H11" s="87" t="s">
        <v>400</v>
      </c>
      <c r="I11" s="34">
        <f>G11/20*1</f>
        <v>0</v>
      </c>
      <c r="J11" s="55" t="s">
        <v>210</v>
      </c>
      <c r="K11" s="53" t="s">
        <v>488</v>
      </c>
    </row>
    <row r="12" spans="2:11" ht="45.75" customHeight="1">
      <c r="B12" s="454"/>
      <c r="C12" s="453"/>
      <c r="D12" s="53" t="s">
        <v>188</v>
      </c>
      <c r="E12" s="76"/>
      <c r="F12" s="81"/>
      <c r="G12" s="54">
        <f>'Sit.Saúde'!E$24*F12</f>
        <v>0</v>
      </c>
      <c r="H12" s="87" t="s">
        <v>400</v>
      </c>
      <c r="I12" s="34">
        <f>G12/20*2</f>
        <v>0</v>
      </c>
      <c r="J12" s="55" t="s">
        <v>210</v>
      </c>
      <c r="K12" s="53" t="s">
        <v>488</v>
      </c>
    </row>
    <row r="13" spans="2:11" ht="45.75" customHeight="1">
      <c r="B13" s="454"/>
      <c r="C13" s="453"/>
      <c r="D13" s="53" t="s">
        <v>206</v>
      </c>
      <c r="E13" s="76"/>
      <c r="F13" s="81"/>
      <c r="G13" s="54">
        <f>'Sit.Saúde'!E25*F13</f>
        <v>0</v>
      </c>
      <c r="H13" s="87" t="s">
        <v>401</v>
      </c>
      <c r="I13" s="34">
        <f>G13/20*1</f>
        <v>0</v>
      </c>
      <c r="J13" s="55" t="s">
        <v>210</v>
      </c>
      <c r="K13" s="53" t="s">
        <v>488</v>
      </c>
    </row>
    <row r="14" spans="2:11" ht="45.75" customHeight="1">
      <c r="B14" s="454"/>
      <c r="C14" s="453"/>
      <c r="D14" s="53" t="s">
        <v>188</v>
      </c>
      <c r="E14" s="76"/>
      <c r="F14" s="81"/>
      <c r="G14" s="54">
        <f>'Sit.Saúde'!E25*F14</f>
        <v>0</v>
      </c>
      <c r="H14" s="87" t="s">
        <v>401</v>
      </c>
      <c r="I14" s="34">
        <f>G14/20*1</f>
        <v>0</v>
      </c>
      <c r="J14" s="55" t="s">
        <v>210</v>
      </c>
      <c r="K14" s="53" t="s">
        <v>488</v>
      </c>
    </row>
    <row r="15" spans="2:11" ht="50.25" customHeight="1">
      <c r="B15" s="454" t="s">
        <v>246</v>
      </c>
      <c r="C15" s="453" t="s">
        <v>248</v>
      </c>
      <c r="D15" s="53" t="s">
        <v>188</v>
      </c>
      <c r="E15" s="76"/>
      <c r="F15" s="81"/>
      <c r="G15" s="54">
        <f>'Sit.Saúde'!E23*F15</f>
        <v>0</v>
      </c>
      <c r="H15" s="87" t="s">
        <v>399</v>
      </c>
      <c r="I15" s="34">
        <f>G15*2</f>
        <v>0</v>
      </c>
      <c r="J15" s="55" t="s">
        <v>348</v>
      </c>
      <c r="K15" s="53" t="s">
        <v>488</v>
      </c>
    </row>
    <row r="16" spans="2:11" ht="50.25" customHeight="1">
      <c r="B16" s="454"/>
      <c r="C16" s="453"/>
      <c r="D16" s="53" t="s">
        <v>188</v>
      </c>
      <c r="E16" s="76"/>
      <c r="F16" s="81"/>
      <c r="G16" s="54">
        <f>'Sit.Saúde'!E24*F16</f>
        <v>0</v>
      </c>
      <c r="H16" s="87" t="s">
        <v>400</v>
      </c>
      <c r="I16" s="34">
        <f>G16*3</f>
        <v>0</v>
      </c>
      <c r="J16" s="55" t="s">
        <v>348</v>
      </c>
      <c r="K16" s="53" t="s">
        <v>488</v>
      </c>
    </row>
    <row r="17" spans="2:13" ht="50.25" customHeight="1">
      <c r="B17" s="454"/>
      <c r="C17" s="453"/>
      <c r="D17" s="53" t="s">
        <v>188</v>
      </c>
      <c r="E17" s="76"/>
      <c r="F17" s="81"/>
      <c r="G17" s="54">
        <f>'Sit.Saúde'!E25*F17</f>
        <v>0</v>
      </c>
      <c r="H17" s="87" t="s">
        <v>401</v>
      </c>
      <c r="I17" s="34">
        <f>G17*2</f>
        <v>0</v>
      </c>
      <c r="J17" s="55" t="s">
        <v>348</v>
      </c>
      <c r="K17" s="53" t="s">
        <v>488</v>
      </c>
      <c r="M17" s="83"/>
    </row>
    <row r="18" spans="2:13" ht="34.5" customHeight="1">
      <c r="B18" s="454" t="s">
        <v>249</v>
      </c>
      <c r="C18" s="453" t="s">
        <v>250</v>
      </c>
      <c r="D18" s="53" t="s">
        <v>206</v>
      </c>
      <c r="E18" s="76"/>
      <c r="F18" s="81"/>
      <c r="G18" s="54">
        <f>'Sit.Saúde'!E23*F18</f>
        <v>0</v>
      </c>
      <c r="H18" s="87" t="s">
        <v>399</v>
      </c>
      <c r="I18" s="34">
        <f aca="true" t="shared" si="0" ref="I18:I23">G18*1</f>
        <v>0</v>
      </c>
      <c r="J18" s="55" t="s">
        <v>207</v>
      </c>
      <c r="K18" s="53" t="s">
        <v>488</v>
      </c>
      <c r="M18" s="84"/>
    </row>
    <row r="19" spans="2:13" ht="34.5" customHeight="1">
      <c r="B19" s="454"/>
      <c r="C19" s="453"/>
      <c r="D19" s="53" t="s">
        <v>206</v>
      </c>
      <c r="E19" s="76"/>
      <c r="F19" s="81"/>
      <c r="G19" s="54">
        <f>'Sit.Saúde'!E24*F19</f>
        <v>0</v>
      </c>
      <c r="H19" s="87" t="s">
        <v>400</v>
      </c>
      <c r="I19" s="34">
        <f t="shared" si="0"/>
        <v>0</v>
      </c>
      <c r="J19" s="55" t="s">
        <v>207</v>
      </c>
      <c r="K19" s="53" t="s">
        <v>488</v>
      </c>
      <c r="M19" s="84"/>
    </row>
    <row r="20" spans="2:11" ht="47.25" customHeight="1">
      <c r="B20" s="454"/>
      <c r="C20" s="453"/>
      <c r="D20" s="53" t="s">
        <v>188</v>
      </c>
      <c r="E20" s="76"/>
      <c r="F20" s="81"/>
      <c r="G20" s="54">
        <f>'Sit.Saúde'!E24*F20</f>
        <v>0</v>
      </c>
      <c r="H20" s="87" t="s">
        <v>400</v>
      </c>
      <c r="I20" s="34">
        <f t="shared" si="0"/>
        <v>0</v>
      </c>
      <c r="J20" s="55" t="s">
        <v>208</v>
      </c>
      <c r="K20" s="53" t="s">
        <v>488</v>
      </c>
    </row>
    <row r="21" spans="2:11" ht="47.25" customHeight="1">
      <c r="B21" s="454"/>
      <c r="C21" s="453"/>
      <c r="D21" s="53" t="s">
        <v>206</v>
      </c>
      <c r="E21" s="76"/>
      <c r="F21" s="81"/>
      <c r="G21" s="54">
        <f>'Sit.Saúde'!E25*F21</f>
        <v>0</v>
      </c>
      <c r="H21" s="87" t="s">
        <v>401</v>
      </c>
      <c r="I21" s="34">
        <f t="shared" si="0"/>
        <v>0</v>
      </c>
      <c r="J21" s="55" t="s">
        <v>207</v>
      </c>
      <c r="K21" s="53" t="s">
        <v>488</v>
      </c>
    </row>
    <row r="22" spans="2:11" ht="47.25" customHeight="1">
      <c r="B22" s="454"/>
      <c r="C22" s="453"/>
      <c r="D22" s="53" t="s">
        <v>188</v>
      </c>
      <c r="E22" s="76"/>
      <c r="F22" s="81"/>
      <c r="G22" s="54">
        <f>'Sit.Saúde'!E25*F22</f>
        <v>0</v>
      </c>
      <c r="H22" s="87" t="s">
        <v>401</v>
      </c>
      <c r="I22" s="34">
        <f t="shared" si="0"/>
        <v>0</v>
      </c>
      <c r="J22" s="55" t="s">
        <v>208</v>
      </c>
      <c r="K22" s="53" t="s">
        <v>488</v>
      </c>
    </row>
    <row r="23" spans="2:11" ht="96" customHeight="1">
      <c r="B23" s="72" t="s">
        <v>286</v>
      </c>
      <c r="C23" s="73" t="s">
        <v>251</v>
      </c>
      <c r="D23" s="58" t="s">
        <v>186</v>
      </c>
      <c r="E23" s="76"/>
      <c r="F23" s="82"/>
      <c r="G23" s="59">
        <f>'Sit.Saúde'!E22*F23</f>
        <v>0</v>
      </c>
      <c r="H23" s="88" t="s">
        <v>402</v>
      </c>
      <c r="I23" s="31">
        <f t="shared" si="0"/>
        <v>0</v>
      </c>
      <c r="J23" s="60" t="s">
        <v>204</v>
      </c>
      <c r="K23" s="58" t="s">
        <v>488</v>
      </c>
    </row>
    <row r="24" spans="2:11" ht="15" customHeight="1" thickBot="1">
      <c r="B24" s="62"/>
      <c r="C24" s="62"/>
      <c r="D24" s="48"/>
      <c r="E24" s="76"/>
      <c r="F24" s="63"/>
      <c r="G24" s="64"/>
      <c r="H24" s="29"/>
      <c r="I24" s="64"/>
      <c r="J24" s="65"/>
      <c r="K24" s="48"/>
    </row>
    <row r="25" spans="2:11" ht="30" customHeight="1">
      <c r="B25" s="463" t="s">
        <v>604</v>
      </c>
      <c r="C25" s="464"/>
      <c r="D25" s="464"/>
      <c r="E25" s="464"/>
      <c r="F25" s="464"/>
      <c r="G25" s="464"/>
      <c r="H25" s="464"/>
      <c r="I25" s="464"/>
      <c r="J25" s="464"/>
      <c r="K25" s="465"/>
    </row>
    <row r="26" spans="2:11" ht="15" customHeight="1" thickBot="1"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2:11" ht="48.75" customHeight="1">
      <c r="B27" s="443" t="s">
        <v>252</v>
      </c>
      <c r="C27" s="442" t="s">
        <v>0</v>
      </c>
      <c r="D27" s="47" t="s">
        <v>206</v>
      </c>
      <c r="E27" s="76"/>
      <c r="F27" s="80"/>
      <c r="G27" s="49">
        <f>'Sit.Saúde'!E30*F27</f>
        <v>0</v>
      </c>
      <c r="H27" s="50" t="s">
        <v>403</v>
      </c>
      <c r="I27" s="36">
        <f>G27/20*1</f>
        <v>0</v>
      </c>
      <c r="J27" s="50" t="s">
        <v>210</v>
      </c>
      <c r="K27" s="47" t="s">
        <v>488</v>
      </c>
    </row>
    <row r="28" spans="2:11" ht="48.75" customHeight="1">
      <c r="B28" s="454"/>
      <c r="C28" s="453"/>
      <c r="D28" s="53" t="s">
        <v>188</v>
      </c>
      <c r="E28" s="76"/>
      <c r="F28" s="81"/>
      <c r="G28" s="54">
        <f>'Sit.Saúde'!E30*F28</f>
        <v>0</v>
      </c>
      <c r="H28" s="55" t="s">
        <v>403</v>
      </c>
      <c r="I28" s="34">
        <f>G28/20*1</f>
        <v>0</v>
      </c>
      <c r="J28" s="55" t="s">
        <v>210</v>
      </c>
      <c r="K28" s="53" t="s">
        <v>488</v>
      </c>
    </row>
    <row r="29" spans="2:11" ht="48.75" customHeight="1">
      <c r="B29" s="454"/>
      <c r="C29" s="453"/>
      <c r="D29" s="53" t="s">
        <v>206</v>
      </c>
      <c r="E29" s="76"/>
      <c r="F29" s="81"/>
      <c r="G29" s="54">
        <f>'Sit.Saúde'!E31*F29</f>
        <v>0</v>
      </c>
      <c r="H29" s="55" t="s">
        <v>404</v>
      </c>
      <c r="I29" s="34">
        <f>G29/20*1</f>
        <v>0</v>
      </c>
      <c r="J29" s="55" t="s">
        <v>210</v>
      </c>
      <c r="K29" s="53" t="s">
        <v>488</v>
      </c>
    </row>
    <row r="30" spans="2:11" ht="48.75" customHeight="1">
      <c r="B30" s="454"/>
      <c r="C30" s="453"/>
      <c r="D30" s="53" t="s">
        <v>188</v>
      </c>
      <c r="E30" s="76"/>
      <c r="F30" s="81"/>
      <c r="G30" s="54">
        <f>'Sit.Saúde'!E31*F30</f>
        <v>0</v>
      </c>
      <c r="H30" s="55" t="s">
        <v>404</v>
      </c>
      <c r="I30" s="34">
        <f>G30/20*2</f>
        <v>0</v>
      </c>
      <c r="J30" s="55" t="s">
        <v>210</v>
      </c>
      <c r="K30" s="53" t="s">
        <v>488</v>
      </c>
    </row>
    <row r="31" spans="2:11" ht="48.75" customHeight="1">
      <c r="B31" s="454"/>
      <c r="C31" s="453"/>
      <c r="D31" s="53" t="s">
        <v>206</v>
      </c>
      <c r="E31" s="76"/>
      <c r="F31" s="81"/>
      <c r="G31" s="54">
        <f>'Sit.Saúde'!E33*F31</f>
        <v>0</v>
      </c>
      <c r="H31" s="55" t="s">
        <v>405</v>
      </c>
      <c r="I31" s="34">
        <f>G31/20*1</f>
        <v>0</v>
      </c>
      <c r="J31" s="55" t="s">
        <v>210</v>
      </c>
      <c r="K31" s="53" t="s">
        <v>488</v>
      </c>
    </row>
    <row r="32" spans="2:11" ht="48.75" customHeight="1">
      <c r="B32" s="454"/>
      <c r="C32" s="453"/>
      <c r="D32" s="53" t="s">
        <v>188</v>
      </c>
      <c r="E32" s="76"/>
      <c r="F32" s="81"/>
      <c r="G32" s="54">
        <f>'Sit.Saúde'!E33*F32</f>
        <v>0</v>
      </c>
      <c r="H32" s="55" t="s">
        <v>405</v>
      </c>
      <c r="I32" s="34">
        <f>G32/20*1</f>
        <v>0</v>
      </c>
      <c r="J32" s="55" t="s">
        <v>210</v>
      </c>
      <c r="K32" s="53" t="s">
        <v>488</v>
      </c>
    </row>
    <row r="33" spans="2:11" ht="64.5" customHeight="1">
      <c r="B33" s="454" t="s">
        <v>253</v>
      </c>
      <c r="C33" s="453" t="s">
        <v>635</v>
      </c>
      <c r="D33" s="53" t="s">
        <v>188</v>
      </c>
      <c r="E33" s="76"/>
      <c r="F33" s="81"/>
      <c r="G33" s="54">
        <f>'Sit.Saúde'!E30*F33</f>
        <v>0</v>
      </c>
      <c r="H33" s="55" t="s">
        <v>403</v>
      </c>
      <c r="I33" s="34">
        <f>G33*2</f>
        <v>0</v>
      </c>
      <c r="J33" s="55" t="s">
        <v>348</v>
      </c>
      <c r="K33" s="53" t="s">
        <v>488</v>
      </c>
    </row>
    <row r="34" spans="2:11" ht="64.5" customHeight="1">
      <c r="B34" s="454"/>
      <c r="C34" s="453"/>
      <c r="D34" s="53" t="s">
        <v>188</v>
      </c>
      <c r="E34" s="76"/>
      <c r="F34" s="81"/>
      <c r="G34" s="54">
        <f>'Sit.Saúde'!E31*F34</f>
        <v>0</v>
      </c>
      <c r="H34" s="55" t="s">
        <v>404</v>
      </c>
      <c r="I34" s="34">
        <f>G34*3</f>
        <v>0</v>
      </c>
      <c r="J34" s="55" t="s">
        <v>348</v>
      </c>
      <c r="K34" s="53" t="s">
        <v>488</v>
      </c>
    </row>
    <row r="35" spans="2:13" ht="64.5" customHeight="1">
      <c r="B35" s="454"/>
      <c r="C35" s="453"/>
      <c r="D35" s="53" t="s">
        <v>188</v>
      </c>
      <c r="E35" s="76"/>
      <c r="F35" s="81"/>
      <c r="G35" s="54">
        <f>'Sit.Saúde'!E33*F35</f>
        <v>0</v>
      </c>
      <c r="H35" s="55" t="s">
        <v>405</v>
      </c>
      <c r="I35" s="34">
        <f>G35*2</f>
        <v>0</v>
      </c>
      <c r="J35" s="55" t="s">
        <v>348</v>
      </c>
      <c r="K35" s="53" t="s">
        <v>488</v>
      </c>
      <c r="M35" s="83"/>
    </row>
    <row r="36" spans="2:11" ht="50.25" customHeight="1">
      <c r="B36" s="454" t="s">
        <v>254</v>
      </c>
      <c r="C36" s="453" t="s">
        <v>1</v>
      </c>
      <c r="D36" s="53" t="s">
        <v>206</v>
      </c>
      <c r="E36" s="76"/>
      <c r="F36" s="81"/>
      <c r="G36" s="54">
        <f>'Sit.Saúde'!E30*F36</f>
        <v>0</v>
      </c>
      <c r="H36" s="55" t="s">
        <v>403</v>
      </c>
      <c r="I36" s="34">
        <f>G36*1</f>
        <v>0</v>
      </c>
      <c r="J36" s="55" t="s">
        <v>207</v>
      </c>
      <c r="K36" s="53" t="s">
        <v>488</v>
      </c>
    </row>
    <row r="37" spans="2:11" ht="50.25" customHeight="1">
      <c r="B37" s="454"/>
      <c r="C37" s="453"/>
      <c r="D37" s="53" t="s">
        <v>206</v>
      </c>
      <c r="E37" s="76"/>
      <c r="F37" s="81"/>
      <c r="G37" s="54">
        <f>'Sit.Saúde'!E31*F37</f>
        <v>0</v>
      </c>
      <c r="H37" s="55" t="s">
        <v>404</v>
      </c>
      <c r="I37" s="34">
        <f>G37*2</f>
        <v>0</v>
      </c>
      <c r="J37" s="55" t="s">
        <v>207</v>
      </c>
      <c r="K37" s="53" t="s">
        <v>488</v>
      </c>
    </row>
    <row r="38" spans="2:11" ht="50.25" customHeight="1">
      <c r="B38" s="454"/>
      <c r="C38" s="453"/>
      <c r="D38" s="53" t="s">
        <v>206</v>
      </c>
      <c r="E38" s="76"/>
      <c r="F38" s="81"/>
      <c r="G38" s="54">
        <f>'Sit.Saúde'!E33*F38</f>
        <v>0</v>
      </c>
      <c r="H38" s="55" t="s">
        <v>405</v>
      </c>
      <c r="I38" s="34">
        <f>G38*2</f>
        <v>0</v>
      </c>
      <c r="J38" s="55" t="s">
        <v>207</v>
      </c>
      <c r="K38" s="53" t="s">
        <v>488</v>
      </c>
    </row>
    <row r="39" spans="2:11" ht="50.25" customHeight="1">
      <c r="B39" s="454"/>
      <c r="C39" s="453"/>
      <c r="D39" s="53" t="s">
        <v>188</v>
      </c>
      <c r="E39" s="76"/>
      <c r="F39" s="81"/>
      <c r="G39" s="54">
        <f>'Sit.Saúde'!E33*F39</f>
        <v>0</v>
      </c>
      <c r="H39" s="55" t="s">
        <v>405</v>
      </c>
      <c r="I39" s="34">
        <f>G39*1</f>
        <v>0</v>
      </c>
      <c r="J39" s="55" t="s">
        <v>208</v>
      </c>
      <c r="K39" s="53" t="s">
        <v>488</v>
      </c>
    </row>
    <row r="40" spans="2:11" ht="111" customHeight="1">
      <c r="B40" s="72" t="s">
        <v>256</v>
      </c>
      <c r="C40" s="73" t="s">
        <v>257</v>
      </c>
      <c r="D40" s="58" t="s">
        <v>186</v>
      </c>
      <c r="E40" s="76"/>
      <c r="F40" s="82"/>
      <c r="G40" s="59">
        <f>'Sit.Saúde'!E29*F40</f>
        <v>0</v>
      </c>
      <c r="H40" s="60" t="s">
        <v>406</v>
      </c>
      <c r="I40" s="31">
        <f>G40*1</f>
        <v>0</v>
      </c>
      <c r="J40" s="60" t="s">
        <v>204</v>
      </c>
      <c r="K40" s="58" t="s">
        <v>488</v>
      </c>
    </row>
    <row r="41" spans="2:11" ht="15" customHeight="1" thickBot="1">
      <c r="B41" s="62"/>
      <c r="C41" s="62"/>
      <c r="D41" s="48"/>
      <c r="E41" s="76"/>
      <c r="F41" s="63"/>
      <c r="G41" s="64"/>
      <c r="H41" s="65"/>
      <c r="I41" s="64"/>
      <c r="J41" s="65"/>
      <c r="K41" s="48"/>
    </row>
    <row r="42" spans="2:11" ht="30" customHeight="1">
      <c r="B42" s="463" t="s">
        <v>605</v>
      </c>
      <c r="C42" s="464"/>
      <c r="D42" s="464"/>
      <c r="E42" s="464"/>
      <c r="F42" s="464"/>
      <c r="G42" s="464"/>
      <c r="H42" s="464"/>
      <c r="I42" s="464"/>
      <c r="J42" s="464"/>
      <c r="K42" s="465"/>
    </row>
    <row r="43" spans="2:11" ht="15" customHeight="1" thickBot="1"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2:11" ht="93" customHeight="1">
      <c r="B44" s="45" t="s">
        <v>258</v>
      </c>
      <c r="C44" s="46" t="s">
        <v>259</v>
      </c>
      <c r="D44" s="47" t="s">
        <v>206</v>
      </c>
      <c r="E44" s="76"/>
      <c r="F44" s="80"/>
      <c r="G44" s="49">
        <f>'Sit.Saúde'!E37*F44</f>
        <v>0</v>
      </c>
      <c r="H44" s="50" t="s">
        <v>407</v>
      </c>
      <c r="I44" s="36">
        <f>G44*1</f>
        <v>0</v>
      </c>
      <c r="J44" s="50" t="s">
        <v>207</v>
      </c>
      <c r="K44" s="47" t="s">
        <v>488</v>
      </c>
    </row>
    <row r="45" spans="2:11" ht="63.75" customHeight="1">
      <c r="B45" s="454" t="s">
        <v>260</v>
      </c>
      <c r="C45" s="453" t="s">
        <v>261</v>
      </c>
      <c r="D45" s="53" t="s">
        <v>206</v>
      </c>
      <c r="E45" s="76"/>
      <c r="F45" s="81"/>
      <c r="G45" s="54">
        <f>'Sit.Saúde'!E38*F45</f>
        <v>0</v>
      </c>
      <c r="H45" s="55" t="s">
        <v>408</v>
      </c>
      <c r="I45" s="34">
        <f>G45*3</f>
        <v>0</v>
      </c>
      <c r="J45" s="55" t="s">
        <v>207</v>
      </c>
      <c r="K45" s="53" t="s">
        <v>488</v>
      </c>
    </row>
    <row r="46" spans="2:11" ht="63.75" customHeight="1">
      <c r="B46" s="454"/>
      <c r="C46" s="453"/>
      <c r="D46" s="53" t="s">
        <v>188</v>
      </c>
      <c r="E46" s="76"/>
      <c r="F46" s="81"/>
      <c r="G46" s="54">
        <f>'Sit.Saúde'!E38*F46</f>
        <v>0</v>
      </c>
      <c r="H46" s="55" t="s">
        <v>408</v>
      </c>
      <c r="I46" s="34">
        <f>G46*3</f>
        <v>0</v>
      </c>
      <c r="J46" s="55" t="s">
        <v>208</v>
      </c>
      <c r="K46" s="53" t="s">
        <v>488</v>
      </c>
    </row>
    <row r="47" spans="2:11" ht="108.75" customHeight="1">
      <c r="B47" s="72" t="s">
        <v>262</v>
      </c>
      <c r="C47" s="73" t="s">
        <v>263</v>
      </c>
      <c r="D47" s="58" t="s">
        <v>206</v>
      </c>
      <c r="E47" s="76"/>
      <c r="F47" s="82"/>
      <c r="G47" s="59">
        <f>'Sit.Saúde'!E39*F47</f>
        <v>0</v>
      </c>
      <c r="H47" s="60" t="s">
        <v>409</v>
      </c>
      <c r="I47" s="31">
        <f>G47*1</f>
        <v>0</v>
      </c>
      <c r="J47" s="60" t="s">
        <v>207</v>
      </c>
      <c r="K47" s="58" t="s">
        <v>488</v>
      </c>
    </row>
    <row r="48" spans="2:11" ht="15" customHeight="1" thickBot="1">
      <c r="B48" s="62"/>
      <c r="C48" s="62"/>
      <c r="D48" s="48"/>
      <c r="E48" s="76"/>
      <c r="F48" s="63"/>
      <c r="G48" s="64"/>
      <c r="H48" s="65"/>
      <c r="I48" s="64"/>
      <c r="J48" s="65"/>
      <c r="K48" s="48"/>
    </row>
    <row r="49" spans="2:11" ht="30" customHeight="1">
      <c r="B49" s="463" t="s">
        <v>606</v>
      </c>
      <c r="C49" s="464"/>
      <c r="D49" s="464"/>
      <c r="E49" s="464"/>
      <c r="F49" s="464"/>
      <c r="G49" s="464"/>
      <c r="H49" s="464"/>
      <c r="I49" s="464"/>
      <c r="J49" s="464"/>
      <c r="K49" s="465"/>
    </row>
    <row r="50" spans="2:11" ht="15" customHeight="1" thickBot="1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2:11" ht="138" customHeight="1">
      <c r="B51" s="45" t="s">
        <v>267</v>
      </c>
      <c r="C51" s="46" t="s">
        <v>268</v>
      </c>
      <c r="D51" s="47" t="s">
        <v>188</v>
      </c>
      <c r="E51" s="76"/>
      <c r="F51" s="80"/>
      <c r="G51" s="49">
        <f>'Sit.Saúde'!E43*F51</f>
        <v>0</v>
      </c>
      <c r="H51" s="50" t="s">
        <v>411</v>
      </c>
      <c r="I51" s="36">
        <f>G51*1</f>
        <v>0</v>
      </c>
      <c r="J51" s="50" t="s">
        <v>410</v>
      </c>
      <c r="K51" s="47" t="s">
        <v>488</v>
      </c>
    </row>
    <row r="52" spans="2:11" ht="125.25" customHeight="1">
      <c r="B52" s="52" t="s">
        <v>269</v>
      </c>
      <c r="C52" s="38" t="s">
        <v>270</v>
      </c>
      <c r="D52" s="53" t="s">
        <v>206</v>
      </c>
      <c r="E52" s="76"/>
      <c r="F52" s="81"/>
      <c r="G52" s="54">
        <f>'Sit.Saúde'!E44*F52</f>
        <v>0</v>
      </c>
      <c r="H52" s="55" t="s">
        <v>412</v>
      </c>
      <c r="I52" s="34">
        <f>G52*1</f>
        <v>0</v>
      </c>
      <c r="J52" s="55" t="s">
        <v>414</v>
      </c>
      <c r="K52" s="53" t="s">
        <v>488</v>
      </c>
    </row>
    <row r="53" spans="2:11" ht="110.25" customHeight="1">
      <c r="B53" s="52" t="s">
        <v>287</v>
      </c>
      <c r="C53" s="38" t="s">
        <v>288</v>
      </c>
      <c r="D53" s="53" t="s">
        <v>188</v>
      </c>
      <c r="E53" s="76"/>
      <c r="F53" s="81"/>
      <c r="G53" s="54">
        <f>'Sit.Saúde'!E47*F53</f>
        <v>0</v>
      </c>
      <c r="H53" s="55" t="s">
        <v>413</v>
      </c>
      <c r="I53" s="34">
        <f>G53*1</f>
        <v>0</v>
      </c>
      <c r="J53" s="55" t="s">
        <v>410</v>
      </c>
      <c r="K53" s="53" t="s">
        <v>488</v>
      </c>
    </row>
    <row r="54" spans="2:11" ht="42.75" customHeight="1">
      <c r="B54" s="454" t="s">
        <v>271</v>
      </c>
      <c r="C54" s="453" t="s">
        <v>272</v>
      </c>
      <c r="D54" s="53" t="s">
        <v>206</v>
      </c>
      <c r="E54" s="76"/>
      <c r="F54" s="81"/>
      <c r="G54" s="54">
        <f>'Sit.Saúde'!E45</f>
        <v>0</v>
      </c>
      <c r="H54" s="55" t="s">
        <v>415</v>
      </c>
      <c r="I54" s="34">
        <f>G54*4</f>
        <v>0</v>
      </c>
      <c r="J54" s="55" t="s">
        <v>207</v>
      </c>
      <c r="K54" s="53" t="s">
        <v>488</v>
      </c>
    </row>
    <row r="55" spans="2:11" ht="42.75" customHeight="1">
      <c r="B55" s="454"/>
      <c r="C55" s="453"/>
      <c r="D55" s="53" t="s">
        <v>188</v>
      </c>
      <c r="E55" s="76"/>
      <c r="F55" s="81"/>
      <c r="G55" s="54">
        <f>'Sit.Saúde'!E45</f>
        <v>0</v>
      </c>
      <c r="H55" s="55" t="s">
        <v>415</v>
      </c>
      <c r="I55" s="34">
        <f>G55*4</f>
        <v>0</v>
      </c>
      <c r="J55" s="55" t="s">
        <v>208</v>
      </c>
      <c r="K55" s="53" t="s">
        <v>488</v>
      </c>
    </row>
    <row r="56" spans="2:11" ht="127.5" customHeight="1">
      <c r="B56" s="52" t="s">
        <v>273</v>
      </c>
      <c r="C56" s="38" t="s">
        <v>274</v>
      </c>
      <c r="D56" s="53" t="s">
        <v>187</v>
      </c>
      <c r="E56" s="76"/>
      <c r="F56" s="81"/>
      <c r="G56" s="54">
        <f>'Sit.Saúde'!E45</f>
        <v>0</v>
      </c>
      <c r="H56" s="55" t="s">
        <v>415</v>
      </c>
      <c r="I56" s="34">
        <f>G56*8</f>
        <v>0</v>
      </c>
      <c r="J56" s="55" t="s">
        <v>289</v>
      </c>
      <c r="K56" s="53" t="s">
        <v>488</v>
      </c>
    </row>
    <row r="57" spans="2:11" ht="144.75" customHeight="1">
      <c r="B57" s="72" t="s">
        <v>275</v>
      </c>
      <c r="C57" s="73" t="s">
        <v>306</v>
      </c>
      <c r="D57" s="58" t="s">
        <v>206</v>
      </c>
      <c r="E57" s="76"/>
      <c r="F57" s="82"/>
      <c r="G57" s="59">
        <f>'Sit.Saúde'!E46*F57</f>
        <v>0</v>
      </c>
      <c r="H57" s="60" t="s">
        <v>469</v>
      </c>
      <c r="I57" s="31">
        <f>G57*12</f>
        <v>0</v>
      </c>
      <c r="J57" s="60" t="s">
        <v>207</v>
      </c>
      <c r="K57" s="58" t="s">
        <v>488</v>
      </c>
    </row>
    <row r="58" spans="2:11" ht="15" customHeight="1" thickBot="1">
      <c r="B58" s="62"/>
      <c r="C58" s="62"/>
      <c r="D58" s="48"/>
      <c r="E58" s="76"/>
      <c r="F58" s="63"/>
      <c r="G58" s="64"/>
      <c r="H58" s="65"/>
      <c r="I58" s="64"/>
      <c r="J58" s="65"/>
      <c r="K58" s="48"/>
    </row>
    <row r="59" spans="2:11" ht="30" customHeight="1">
      <c r="B59" s="463" t="s">
        <v>607</v>
      </c>
      <c r="C59" s="464"/>
      <c r="D59" s="464"/>
      <c r="E59" s="464"/>
      <c r="F59" s="464"/>
      <c r="G59" s="464"/>
      <c r="H59" s="464"/>
      <c r="I59" s="464"/>
      <c r="J59" s="464"/>
      <c r="K59" s="465"/>
    </row>
    <row r="60" spans="2:11" ht="15" customHeight="1" thickBot="1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2:11" ht="117" customHeight="1">
      <c r="B61" s="45" t="s">
        <v>276</v>
      </c>
      <c r="C61" s="46" t="s">
        <v>277</v>
      </c>
      <c r="D61" s="47" t="s">
        <v>188</v>
      </c>
      <c r="E61" s="76"/>
      <c r="F61" s="80"/>
      <c r="G61" s="49">
        <f>'Sit.Saúde'!E51*F61</f>
        <v>0</v>
      </c>
      <c r="H61" s="50" t="s">
        <v>374</v>
      </c>
      <c r="I61" s="36">
        <f>G61*1</f>
        <v>0</v>
      </c>
      <c r="J61" s="50" t="s">
        <v>208</v>
      </c>
      <c r="K61" s="47" t="s">
        <v>488</v>
      </c>
    </row>
    <row r="62" spans="2:11" ht="96" customHeight="1">
      <c r="B62" s="52" t="s">
        <v>278</v>
      </c>
      <c r="C62" s="38" t="s">
        <v>279</v>
      </c>
      <c r="D62" s="53" t="s">
        <v>206</v>
      </c>
      <c r="E62" s="76"/>
      <c r="F62" s="81"/>
      <c r="G62" s="54">
        <f>'Sit.Saúde'!E51*F62</f>
        <v>0</v>
      </c>
      <c r="H62" s="55" t="s">
        <v>374</v>
      </c>
      <c r="I62" s="34">
        <f>G62*1</f>
        <v>0</v>
      </c>
      <c r="J62" s="55" t="s">
        <v>207</v>
      </c>
      <c r="K62" s="53" t="s">
        <v>488</v>
      </c>
    </row>
    <row r="63" spans="2:11" ht="125.25" customHeight="1">
      <c r="B63" s="72" t="s">
        <v>280</v>
      </c>
      <c r="C63" s="73" t="s">
        <v>281</v>
      </c>
      <c r="D63" s="58" t="s">
        <v>206</v>
      </c>
      <c r="E63" s="76"/>
      <c r="F63" s="82"/>
      <c r="G63" s="59">
        <f>'Sit.Saúde'!E51*F63</f>
        <v>0</v>
      </c>
      <c r="H63" s="60" t="s">
        <v>374</v>
      </c>
      <c r="I63" s="31">
        <f>G63*3</f>
        <v>0</v>
      </c>
      <c r="J63" s="60" t="s">
        <v>207</v>
      </c>
      <c r="K63" s="58" t="s">
        <v>488</v>
      </c>
    </row>
    <row r="64" spans="2:11" ht="15" customHeight="1" thickBot="1">
      <c r="B64" s="62"/>
      <c r="C64" s="62"/>
      <c r="D64" s="48"/>
      <c r="E64" s="76"/>
      <c r="F64" s="63"/>
      <c r="G64" s="64"/>
      <c r="H64" s="65"/>
      <c r="I64" s="64"/>
      <c r="J64" s="65"/>
      <c r="K64" s="48"/>
    </row>
    <row r="65" spans="2:11" ht="30" customHeight="1">
      <c r="B65" s="463" t="s">
        <v>609</v>
      </c>
      <c r="C65" s="464"/>
      <c r="D65" s="464"/>
      <c r="E65" s="464"/>
      <c r="F65" s="464"/>
      <c r="G65" s="464"/>
      <c r="H65" s="464"/>
      <c r="I65" s="464"/>
      <c r="J65" s="464"/>
      <c r="K65" s="465"/>
    </row>
    <row r="66" spans="2:11" ht="15" customHeight="1" thickBot="1"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spans="2:11" ht="102.75" customHeight="1">
      <c r="B67" s="443" t="s">
        <v>282</v>
      </c>
      <c r="C67" s="442" t="s">
        <v>290</v>
      </c>
      <c r="D67" s="47" t="s">
        <v>206</v>
      </c>
      <c r="E67" s="76"/>
      <c r="F67" s="80"/>
      <c r="G67" s="49">
        <f>'Sit.Saúde'!E63/2*F67</f>
        <v>0</v>
      </c>
      <c r="H67" s="50" t="s">
        <v>171</v>
      </c>
      <c r="I67" s="36">
        <f aca="true" t="shared" si="1" ref="I67:I72">G67*1</f>
        <v>0</v>
      </c>
      <c r="J67" s="50" t="s">
        <v>175</v>
      </c>
      <c r="K67" s="47" t="s">
        <v>488</v>
      </c>
    </row>
    <row r="68" spans="2:11" ht="102.75" customHeight="1">
      <c r="B68" s="454"/>
      <c r="C68" s="453"/>
      <c r="D68" s="53" t="s">
        <v>188</v>
      </c>
      <c r="E68" s="76"/>
      <c r="F68" s="81"/>
      <c r="G68" s="54">
        <f>'Sit.Saúde'!E63/2*F68</f>
        <v>0</v>
      </c>
      <c r="H68" s="55" t="s">
        <v>171</v>
      </c>
      <c r="I68" s="34">
        <f t="shared" si="1"/>
        <v>0</v>
      </c>
      <c r="J68" s="55" t="s">
        <v>176</v>
      </c>
      <c r="K68" s="53" t="s">
        <v>488</v>
      </c>
    </row>
    <row r="69" spans="2:11" ht="93" customHeight="1">
      <c r="B69" s="454" t="s">
        <v>283</v>
      </c>
      <c r="C69" s="453" t="s">
        <v>291</v>
      </c>
      <c r="D69" s="53" t="s">
        <v>206</v>
      </c>
      <c r="E69" s="76"/>
      <c r="F69" s="81"/>
      <c r="G69" s="54">
        <f>'Sit.Saúde'!E64*F69/2</f>
        <v>0</v>
      </c>
      <c r="H69" s="55" t="s">
        <v>628</v>
      </c>
      <c r="I69" s="34">
        <f t="shared" si="1"/>
        <v>0</v>
      </c>
      <c r="J69" s="55" t="s">
        <v>172</v>
      </c>
      <c r="K69" s="53" t="s">
        <v>488</v>
      </c>
    </row>
    <row r="70" spans="2:11" ht="93" customHeight="1">
      <c r="B70" s="454"/>
      <c r="C70" s="453"/>
      <c r="D70" s="53" t="s">
        <v>188</v>
      </c>
      <c r="E70" s="76"/>
      <c r="F70" s="81"/>
      <c r="G70" s="54">
        <f>'Sit.Saúde'!E64*F70/2</f>
        <v>0</v>
      </c>
      <c r="H70" s="55" t="s">
        <v>628</v>
      </c>
      <c r="I70" s="34">
        <f t="shared" si="1"/>
        <v>0</v>
      </c>
      <c r="J70" s="55" t="s">
        <v>173</v>
      </c>
      <c r="K70" s="53" t="s">
        <v>488</v>
      </c>
    </row>
    <row r="71" spans="2:11" ht="108.75" customHeight="1">
      <c r="B71" s="52" t="s">
        <v>292</v>
      </c>
      <c r="C71" s="38" t="s">
        <v>293</v>
      </c>
      <c r="D71" s="53" t="s">
        <v>491</v>
      </c>
      <c r="E71" s="76"/>
      <c r="F71" s="81"/>
      <c r="G71" s="54">
        <f>'Sit.Saúde'!E66*F71</f>
        <v>0</v>
      </c>
      <c r="H71" s="55" t="s">
        <v>170</v>
      </c>
      <c r="I71" s="34">
        <f t="shared" si="1"/>
        <v>0</v>
      </c>
      <c r="J71" s="55" t="s">
        <v>174</v>
      </c>
      <c r="K71" s="53" t="s">
        <v>488</v>
      </c>
    </row>
    <row r="72" spans="2:11" ht="124.5" customHeight="1">
      <c r="B72" s="72" t="s">
        <v>294</v>
      </c>
      <c r="C72" s="73" t="s">
        <v>633</v>
      </c>
      <c r="D72" s="58" t="s">
        <v>491</v>
      </c>
      <c r="E72" s="76"/>
      <c r="F72" s="82"/>
      <c r="G72" s="59">
        <f>SUM(Cadastro!E22:E23,Cadastro!E26:E27)*F72</f>
        <v>0</v>
      </c>
      <c r="H72" s="60" t="s">
        <v>170</v>
      </c>
      <c r="I72" s="31">
        <f t="shared" si="1"/>
        <v>0</v>
      </c>
      <c r="J72" s="60" t="s">
        <v>174</v>
      </c>
      <c r="K72" s="58" t="s">
        <v>488</v>
      </c>
    </row>
    <row r="73" spans="2:11" ht="15" customHeight="1" thickBot="1">
      <c r="B73" s="62"/>
      <c r="C73" s="62"/>
      <c r="D73" s="48"/>
      <c r="E73" s="76"/>
      <c r="F73" s="63"/>
      <c r="G73" s="64"/>
      <c r="H73" s="65"/>
      <c r="I73" s="64"/>
      <c r="J73" s="65"/>
      <c r="K73" s="48"/>
    </row>
    <row r="74" spans="2:11" ht="30" customHeight="1">
      <c r="B74" s="463" t="s">
        <v>608</v>
      </c>
      <c r="C74" s="464"/>
      <c r="D74" s="464"/>
      <c r="E74" s="464"/>
      <c r="F74" s="464"/>
      <c r="G74" s="464"/>
      <c r="H74" s="464"/>
      <c r="I74" s="464"/>
      <c r="J74" s="464"/>
      <c r="K74" s="465"/>
    </row>
    <row r="75" spans="2:11" ht="15" customHeight="1" thickBot="1"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2:11" ht="80.25" customHeight="1">
      <c r="B76" s="443" t="s">
        <v>284</v>
      </c>
      <c r="C76" s="442" t="s">
        <v>295</v>
      </c>
      <c r="D76" s="47" t="s">
        <v>206</v>
      </c>
      <c r="E76" s="76"/>
      <c r="F76" s="80"/>
      <c r="G76" s="49">
        <f>'Sit.Saúde'!E$57*F76</f>
        <v>0</v>
      </c>
      <c r="H76" s="50" t="s">
        <v>629</v>
      </c>
      <c r="I76" s="36">
        <f>G76*6</f>
        <v>0</v>
      </c>
      <c r="J76" s="50" t="s">
        <v>207</v>
      </c>
      <c r="K76" s="47" t="s">
        <v>488</v>
      </c>
    </row>
    <row r="77" spans="2:11" ht="80.25" customHeight="1">
      <c r="B77" s="454"/>
      <c r="C77" s="453"/>
      <c r="D77" s="53" t="s">
        <v>188</v>
      </c>
      <c r="E77" s="76"/>
      <c r="F77" s="81"/>
      <c r="G77" s="54">
        <f>'Sit.Saúde'!E$57*F77</f>
        <v>0</v>
      </c>
      <c r="H77" s="55" t="s">
        <v>629</v>
      </c>
      <c r="I77" s="34">
        <f>G77*6</f>
        <v>0</v>
      </c>
      <c r="J77" s="55" t="s">
        <v>208</v>
      </c>
      <c r="K77" s="53" t="s">
        <v>488</v>
      </c>
    </row>
    <row r="78" spans="2:11" ht="79.5" customHeight="1">
      <c r="B78" s="454" t="s">
        <v>285</v>
      </c>
      <c r="C78" s="453" t="s">
        <v>296</v>
      </c>
      <c r="D78" s="53" t="s">
        <v>206</v>
      </c>
      <c r="E78" s="76"/>
      <c r="F78" s="81"/>
      <c r="G78" s="54">
        <f>'Sit.Saúde'!E$59*F78</f>
        <v>0</v>
      </c>
      <c r="H78" s="55" t="s">
        <v>457</v>
      </c>
      <c r="I78" s="34">
        <f>G78*6</f>
        <v>0</v>
      </c>
      <c r="J78" s="55" t="s">
        <v>207</v>
      </c>
      <c r="K78" s="53" t="s">
        <v>488</v>
      </c>
    </row>
    <row r="79" spans="2:11" ht="79.5" customHeight="1">
      <c r="B79" s="437"/>
      <c r="C79" s="438"/>
      <c r="D79" s="58" t="s">
        <v>188</v>
      </c>
      <c r="E79" s="76"/>
      <c r="F79" s="82"/>
      <c r="G79" s="59">
        <f>'Sit.Saúde'!E$59*F79</f>
        <v>0</v>
      </c>
      <c r="H79" s="60" t="s">
        <v>457</v>
      </c>
      <c r="I79" s="31">
        <f>G79*6</f>
        <v>0</v>
      </c>
      <c r="J79" s="60" t="s">
        <v>208</v>
      </c>
      <c r="K79" s="58" t="s">
        <v>488</v>
      </c>
    </row>
    <row r="86" ht="14.25">
      <c r="D86" s="85"/>
    </row>
  </sheetData>
  <sheetProtection sheet="1" objects="1" scenarios="1"/>
  <mergeCells count="39">
    <mergeCell ref="B6:K6"/>
    <mergeCell ref="B1:K1"/>
    <mergeCell ref="F4:K4"/>
    <mergeCell ref="B4:D4"/>
    <mergeCell ref="E4:E5"/>
    <mergeCell ref="G5:H5"/>
    <mergeCell ref="I5:J5"/>
    <mergeCell ref="B2:K2"/>
    <mergeCell ref="B45:B46"/>
    <mergeCell ref="C45:C46"/>
    <mergeCell ref="B36:B39"/>
    <mergeCell ref="C36:C39"/>
    <mergeCell ref="B18:B22"/>
    <mergeCell ref="C18:C22"/>
    <mergeCell ref="B15:B17"/>
    <mergeCell ref="C15:C17"/>
    <mergeCell ref="B78:B79"/>
    <mergeCell ref="C78:C79"/>
    <mergeCell ref="B59:K59"/>
    <mergeCell ref="B76:B77"/>
    <mergeCell ref="C76:C77"/>
    <mergeCell ref="C67:C68"/>
    <mergeCell ref="C69:C70"/>
    <mergeCell ref="B69:B70"/>
    <mergeCell ref="B74:K74"/>
    <mergeCell ref="B7:K7"/>
    <mergeCell ref="B25:K25"/>
    <mergeCell ref="B42:K42"/>
    <mergeCell ref="B49:K49"/>
    <mergeCell ref="B33:B35"/>
    <mergeCell ref="C33:C35"/>
    <mergeCell ref="B27:B32"/>
    <mergeCell ref="C27:C32"/>
    <mergeCell ref="B9:B14"/>
    <mergeCell ref="C9:C14"/>
    <mergeCell ref="B54:B55"/>
    <mergeCell ref="B67:B68"/>
    <mergeCell ref="C54:C55"/>
    <mergeCell ref="B65:K65"/>
  </mergeCells>
  <printOptions horizontalCentered="1"/>
  <pageMargins left="0.31496062992125984" right="0.31496062992125984" top="0.5905511811023623" bottom="0.5905511811023623" header="0.5118110236220472" footer="0.5118110236220472"/>
  <pageSetup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B1:L20"/>
  <sheetViews>
    <sheetView zoomScale="80" zoomScaleNormal="80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18" customWidth="1"/>
    <col min="2" max="2" width="24.7109375" style="18" customWidth="1"/>
    <col min="3" max="3" width="57.140625" style="18" customWidth="1"/>
    <col min="4" max="4" width="17.140625" style="18" customWidth="1"/>
    <col min="5" max="5" width="3.00390625" style="18" customWidth="1"/>
    <col min="6" max="6" width="10.7109375" style="18" customWidth="1"/>
    <col min="7" max="7" width="7.7109375" style="18" customWidth="1"/>
    <col min="8" max="8" width="15.7109375" style="18" customWidth="1"/>
    <col min="9" max="9" width="7.7109375" style="18" customWidth="1"/>
    <col min="10" max="10" width="14.140625" style="18" customWidth="1"/>
    <col min="11" max="11" width="12.7109375" style="18" customWidth="1"/>
    <col min="12" max="12" width="3.00390625" style="18" customWidth="1"/>
    <col min="13" max="16384" width="9.140625" style="18" customWidth="1"/>
  </cols>
  <sheetData>
    <row r="1" spans="2:11" ht="15" customHeight="1" thickBot="1">
      <c r="B1" s="432"/>
      <c r="C1" s="433"/>
      <c r="D1" s="433"/>
      <c r="E1" s="433"/>
      <c r="F1" s="433"/>
      <c r="G1" s="433"/>
      <c r="H1" s="433"/>
      <c r="I1" s="433"/>
      <c r="J1" s="433"/>
      <c r="K1" s="434"/>
    </row>
    <row r="2" spans="2:11" ht="39.75" customHeight="1">
      <c r="B2" s="439" t="s">
        <v>610</v>
      </c>
      <c r="C2" s="440"/>
      <c r="D2" s="440"/>
      <c r="E2" s="440"/>
      <c r="F2" s="440"/>
      <c r="G2" s="440"/>
      <c r="H2" s="440"/>
      <c r="I2" s="440"/>
      <c r="J2" s="440"/>
      <c r="K2" s="441"/>
    </row>
    <row r="3" spans="2:12" ht="15" customHeight="1" thickBot="1">
      <c r="B3" s="89"/>
      <c r="C3" s="89"/>
      <c r="D3" s="89"/>
      <c r="E3" s="19"/>
      <c r="F3" s="90"/>
      <c r="G3" s="90"/>
      <c r="H3" s="90"/>
      <c r="I3" s="90"/>
      <c r="J3" s="90"/>
      <c r="K3" s="90"/>
      <c r="L3" s="20"/>
    </row>
    <row r="4" spans="2:11" ht="30" customHeight="1">
      <c r="B4" s="427" t="s">
        <v>184</v>
      </c>
      <c r="C4" s="428"/>
      <c r="D4" s="429"/>
      <c r="E4" s="91"/>
      <c r="F4" s="445" t="s">
        <v>349</v>
      </c>
      <c r="G4" s="446"/>
      <c r="H4" s="446"/>
      <c r="I4" s="446"/>
      <c r="J4" s="446"/>
      <c r="K4" s="426"/>
    </row>
    <row r="5" spans="2:11" ht="39.75" customHeight="1">
      <c r="B5" s="68" t="s">
        <v>189</v>
      </c>
      <c r="C5" s="17" t="s">
        <v>478</v>
      </c>
      <c r="D5" s="69" t="s">
        <v>185</v>
      </c>
      <c r="E5" s="92"/>
      <c r="F5" s="144" t="s">
        <v>505</v>
      </c>
      <c r="G5" s="444" t="s">
        <v>245</v>
      </c>
      <c r="H5" s="444"/>
      <c r="I5" s="444" t="s">
        <v>212</v>
      </c>
      <c r="J5" s="444"/>
      <c r="K5" s="145" t="s">
        <v>211</v>
      </c>
    </row>
    <row r="6" spans="2:11" ht="15" customHeight="1" thickBot="1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2:11" ht="30" customHeight="1">
      <c r="B7" s="463" t="s">
        <v>452</v>
      </c>
      <c r="C7" s="464"/>
      <c r="D7" s="464"/>
      <c r="E7" s="464"/>
      <c r="F7" s="464"/>
      <c r="G7" s="464"/>
      <c r="H7" s="464"/>
      <c r="I7" s="464"/>
      <c r="J7" s="464"/>
      <c r="K7" s="465"/>
    </row>
    <row r="8" spans="2:11" ht="15" customHeight="1" thickBot="1">
      <c r="B8" s="19"/>
      <c r="C8" s="19"/>
      <c r="D8" s="19"/>
      <c r="E8" s="19"/>
      <c r="F8" s="19"/>
      <c r="G8" s="19"/>
      <c r="H8" s="19"/>
      <c r="I8" s="19"/>
      <c r="J8" s="19"/>
      <c r="K8" s="93"/>
    </row>
    <row r="9" spans="2:11" s="20" customFormat="1" ht="57" customHeight="1">
      <c r="B9" s="443" t="s">
        <v>611</v>
      </c>
      <c r="C9" s="442" t="s">
        <v>612</v>
      </c>
      <c r="D9" s="47" t="s">
        <v>206</v>
      </c>
      <c r="E9" s="48"/>
      <c r="F9" s="80"/>
      <c r="G9" s="49">
        <f>'Sit.Saúde'!E$72*F9</f>
        <v>0</v>
      </c>
      <c r="H9" s="50" t="s">
        <v>178</v>
      </c>
      <c r="I9" s="36">
        <f>G9*4</f>
        <v>0</v>
      </c>
      <c r="J9" s="50" t="s">
        <v>207</v>
      </c>
      <c r="K9" s="47" t="s">
        <v>488</v>
      </c>
    </row>
    <row r="10" spans="2:11" s="20" customFormat="1" ht="57" customHeight="1">
      <c r="B10" s="454"/>
      <c r="C10" s="453"/>
      <c r="D10" s="53" t="s">
        <v>188</v>
      </c>
      <c r="E10" s="48"/>
      <c r="F10" s="81"/>
      <c r="G10" s="54">
        <f>'Sit.Saúde'!E$72*F10</f>
        <v>0</v>
      </c>
      <c r="H10" s="55" t="s">
        <v>178</v>
      </c>
      <c r="I10" s="34">
        <f>G10*2</f>
        <v>0</v>
      </c>
      <c r="J10" s="55" t="s">
        <v>208</v>
      </c>
      <c r="K10" s="53" t="s">
        <v>488</v>
      </c>
    </row>
    <row r="11" spans="2:11" s="20" customFormat="1" ht="69.75" customHeight="1">
      <c r="B11" s="454" t="s">
        <v>613</v>
      </c>
      <c r="C11" s="453" t="s">
        <v>614</v>
      </c>
      <c r="D11" s="53" t="s">
        <v>206</v>
      </c>
      <c r="E11" s="48"/>
      <c r="F11" s="81"/>
      <c r="G11" s="54">
        <f>'Sit.Saúde'!E$73*F11</f>
        <v>0</v>
      </c>
      <c r="H11" s="55" t="s">
        <v>179</v>
      </c>
      <c r="I11" s="34">
        <f>G11*4</f>
        <v>0</v>
      </c>
      <c r="J11" s="55" t="s">
        <v>207</v>
      </c>
      <c r="K11" s="53" t="s">
        <v>488</v>
      </c>
    </row>
    <row r="12" spans="2:11" s="20" customFormat="1" ht="69.75" customHeight="1">
      <c r="B12" s="454"/>
      <c r="C12" s="453"/>
      <c r="D12" s="53" t="s">
        <v>188</v>
      </c>
      <c r="E12" s="48"/>
      <c r="F12" s="81"/>
      <c r="G12" s="54">
        <f>'Sit.Saúde'!E$73*F12</f>
        <v>0</v>
      </c>
      <c r="H12" s="55" t="s">
        <v>179</v>
      </c>
      <c r="I12" s="34">
        <f>G12*2</f>
        <v>0</v>
      </c>
      <c r="J12" s="55" t="s">
        <v>208</v>
      </c>
      <c r="K12" s="53" t="s">
        <v>488</v>
      </c>
    </row>
    <row r="13" spans="2:11" s="20" customFormat="1" ht="97.5" customHeight="1">
      <c r="B13" s="52" t="s">
        <v>615</v>
      </c>
      <c r="C13" s="38" t="s">
        <v>616</v>
      </c>
      <c r="D13" s="53" t="s">
        <v>187</v>
      </c>
      <c r="E13" s="48"/>
      <c r="F13" s="81"/>
      <c r="G13" s="54">
        <f>'Sit.Saúde'!E71*F13</f>
        <v>0</v>
      </c>
      <c r="H13" s="55" t="s">
        <v>177</v>
      </c>
      <c r="I13" s="34">
        <f>G13*3</f>
        <v>0</v>
      </c>
      <c r="J13" s="55" t="s">
        <v>209</v>
      </c>
      <c r="K13" s="53" t="s">
        <v>488</v>
      </c>
    </row>
    <row r="14" spans="2:11" s="20" customFormat="1" ht="76.5" customHeight="1">
      <c r="B14" s="454" t="s">
        <v>617</v>
      </c>
      <c r="C14" s="453" t="s">
        <v>618</v>
      </c>
      <c r="D14" s="53" t="s">
        <v>206</v>
      </c>
      <c r="E14" s="48"/>
      <c r="F14" s="81"/>
      <c r="G14" s="54">
        <f>'Sit.Saúde'!E$71*F14</f>
        <v>0</v>
      </c>
      <c r="H14" s="55" t="s">
        <v>177</v>
      </c>
      <c r="I14" s="34">
        <f>G14/20*2</f>
        <v>0</v>
      </c>
      <c r="J14" s="55" t="s">
        <v>210</v>
      </c>
      <c r="K14" s="53" t="s">
        <v>488</v>
      </c>
    </row>
    <row r="15" spans="2:11" s="20" customFormat="1" ht="76.5" customHeight="1">
      <c r="B15" s="437"/>
      <c r="C15" s="438"/>
      <c r="D15" s="58" t="s">
        <v>188</v>
      </c>
      <c r="E15" s="48"/>
      <c r="F15" s="82"/>
      <c r="G15" s="59">
        <f>'Sit.Saúde'!E$71*F15</f>
        <v>0</v>
      </c>
      <c r="H15" s="60" t="s">
        <v>177</v>
      </c>
      <c r="I15" s="31">
        <f>G15/20*2</f>
        <v>0</v>
      </c>
      <c r="J15" s="60" t="s">
        <v>210</v>
      </c>
      <c r="K15" s="58" t="s">
        <v>488</v>
      </c>
    </row>
    <row r="16" spans="2:11" s="20" customFormat="1" ht="15" customHeight="1" thickBot="1">
      <c r="B16" s="62"/>
      <c r="C16" s="62"/>
      <c r="D16" s="48"/>
      <c r="E16" s="48"/>
      <c r="F16" s="63"/>
      <c r="G16" s="64"/>
      <c r="H16" s="65"/>
      <c r="I16" s="64"/>
      <c r="J16" s="65"/>
      <c r="K16" s="48"/>
    </row>
    <row r="17" spans="2:11" s="20" customFormat="1" ht="30" customHeight="1">
      <c r="B17" s="463" t="s">
        <v>453</v>
      </c>
      <c r="C17" s="464"/>
      <c r="D17" s="464"/>
      <c r="E17" s="464"/>
      <c r="F17" s="464"/>
      <c r="G17" s="464"/>
      <c r="H17" s="464"/>
      <c r="I17" s="464"/>
      <c r="J17" s="464"/>
      <c r="K17" s="465"/>
    </row>
    <row r="18" spans="2:11" s="20" customFormat="1" ht="15" customHeight="1" thickBot="1">
      <c r="B18" s="62"/>
      <c r="C18" s="62"/>
      <c r="D18" s="48"/>
      <c r="E18" s="48"/>
      <c r="F18" s="63"/>
      <c r="G18" s="64"/>
      <c r="H18" s="65"/>
      <c r="I18" s="64"/>
      <c r="J18" s="65"/>
      <c r="K18" s="48"/>
    </row>
    <row r="19" spans="2:11" s="20" customFormat="1" ht="56.25" customHeight="1">
      <c r="B19" s="443" t="s">
        <v>619</v>
      </c>
      <c r="C19" s="442" t="s">
        <v>634</v>
      </c>
      <c r="D19" s="47" t="s">
        <v>206</v>
      </c>
      <c r="E19" s="48"/>
      <c r="F19" s="80"/>
      <c r="G19" s="49">
        <f>'Sit.Saúde'!E$71*F19</f>
        <v>0</v>
      </c>
      <c r="H19" s="50" t="s">
        <v>180</v>
      </c>
      <c r="I19" s="36">
        <f>G19*1</f>
        <v>0</v>
      </c>
      <c r="J19" s="50" t="s">
        <v>207</v>
      </c>
      <c r="K19" s="47" t="s">
        <v>488</v>
      </c>
    </row>
    <row r="20" spans="2:11" s="20" customFormat="1" ht="56.25" customHeight="1">
      <c r="B20" s="437"/>
      <c r="C20" s="438"/>
      <c r="D20" s="58" t="s">
        <v>188</v>
      </c>
      <c r="E20" s="48"/>
      <c r="F20" s="82"/>
      <c r="G20" s="59">
        <f>'Sit.Saúde'!E$71*F20</f>
        <v>0</v>
      </c>
      <c r="H20" s="60" t="s">
        <v>180</v>
      </c>
      <c r="I20" s="31">
        <f>G20*1</f>
        <v>0</v>
      </c>
      <c r="J20" s="60" t="s">
        <v>208</v>
      </c>
      <c r="K20" s="58" t="s">
        <v>488</v>
      </c>
    </row>
  </sheetData>
  <sheetProtection sheet="1" objects="1" scenarios="1"/>
  <mergeCells count="16">
    <mergeCell ref="B7:K7"/>
    <mergeCell ref="B17:K17"/>
    <mergeCell ref="I5:J5"/>
    <mergeCell ref="B1:K1"/>
    <mergeCell ref="B2:K2"/>
    <mergeCell ref="F4:K4"/>
    <mergeCell ref="G5:H5"/>
    <mergeCell ref="B4:D4"/>
    <mergeCell ref="B14:B15"/>
    <mergeCell ref="C14:C15"/>
    <mergeCell ref="B9:B10"/>
    <mergeCell ref="C9:C10"/>
    <mergeCell ref="B11:B12"/>
    <mergeCell ref="B19:B20"/>
    <mergeCell ref="C19:C20"/>
    <mergeCell ref="C11:C12"/>
  </mergeCells>
  <printOptions horizontalCentered="1"/>
  <pageMargins left="0.7874015748031497" right="0.7874015748031497" top="0.95" bottom="0.47" header="0.66" footer="0.5118110236220472"/>
  <pageSetup horizontalDpi="300" verticalDpi="3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BC23"/>
  <sheetViews>
    <sheetView zoomScale="80" zoomScaleNormal="80" zoomScaleSheetLayoutView="8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70" customWidth="1"/>
    <col min="2" max="2" width="24.7109375" style="70" customWidth="1"/>
    <col min="3" max="3" width="56.8515625" style="70" customWidth="1"/>
    <col min="4" max="4" width="17.28125" style="70" customWidth="1"/>
    <col min="5" max="5" width="2.7109375" style="70" customWidth="1"/>
    <col min="6" max="6" width="10.7109375" style="70" customWidth="1"/>
    <col min="7" max="7" width="7.7109375" style="70" customWidth="1"/>
    <col min="8" max="8" width="15.7109375" style="70" customWidth="1"/>
    <col min="9" max="9" width="7.7109375" style="70" customWidth="1"/>
    <col min="10" max="10" width="14.57421875" style="70" customWidth="1"/>
    <col min="11" max="11" width="12.7109375" style="70" customWidth="1"/>
    <col min="12" max="12" width="2.7109375" style="70" customWidth="1"/>
    <col min="13" max="16384" width="9.140625" style="70" customWidth="1"/>
  </cols>
  <sheetData>
    <row r="1" spans="1:55" ht="15" customHeight="1" thickBot="1">
      <c r="A1" s="20"/>
      <c r="B1" s="432"/>
      <c r="C1" s="433"/>
      <c r="D1" s="433"/>
      <c r="E1" s="433"/>
      <c r="F1" s="433"/>
      <c r="G1" s="433"/>
      <c r="H1" s="433"/>
      <c r="I1" s="433"/>
      <c r="J1" s="433"/>
      <c r="K1" s="434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1:55" ht="39.75" customHeight="1">
      <c r="A2" s="18"/>
      <c r="B2" s="439" t="s">
        <v>421</v>
      </c>
      <c r="C2" s="440"/>
      <c r="D2" s="440"/>
      <c r="E2" s="440"/>
      <c r="F2" s="440"/>
      <c r="G2" s="440"/>
      <c r="H2" s="440"/>
      <c r="I2" s="440"/>
      <c r="J2" s="440"/>
      <c r="K2" s="441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</row>
    <row r="3" spans="1:55" ht="1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</row>
    <row r="4" spans="1:55" ht="30" customHeight="1">
      <c r="A4" s="18"/>
      <c r="B4" s="427" t="s">
        <v>184</v>
      </c>
      <c r="C4" s="428"/>
      <c r="D4" s="429"/>
      <c r="E4" s="18"/>
      <c r="F4" s="445" t="s">
        <v>349</v>
      </c>
      <c r="G4" s="446"/>
      <c r="H4" s="446"/>
      <c r="I4" s="446"/>
      <c r="J4" s="446"/>
      <c r="K4" s="426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</row>
    <row r="5" spans="1:55" ht="39.75" customHeight="1">
      <c r="A5" s="18"/>
      <c r="B5" s="68" t="s">
        <v>189</v>
      </c>
      <c r="C5" s="17" t="s">
        <v>478</v>
      </c>
      <c r="D5" s="69" t="s">
        <v>185</v>
      </c>
      <c r="E5" s="18"/>
      <c r="F5" s="144" t="s">
        <v>505</v>
      </c>
      <c r="G5" s="444" t="s">
        <v>245</v>
      </c>
      <c r="H5" s="444"/>
      <c r="I5" s="444" t="s">
        <v>212</v>
      </c>
      <c r="J5" s="444"/>
      <c r="K5" s="145" t="s">
        <v>211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</row>
    <row r="6" spans="1:55" ht="15" customHeight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1:55" ht="30" customHeight="1">
      <c r="A7" s="18"/>
      <c r="B7" s="528" t="s">
        <v>458</v>
      </c>
      <c r="C7" s="529"/>
      <c r="D7" s="529"/>
      <c r="E7" s="529"/>
      <c r="F7" s="529"/>
      <c r="G7" s="529"/>
      <c r="H7" s="529"/>
      <c r="I7" s="529"/>
      <c r="J7" s="529"/>
      <c r="K7" s="530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ht="15" customHeight="1" thickBot="1">
      <c r="A8" s="18"/>
      <c r="B8" s="18"/>
      <c r="C8" s="18"/>
      <c r="D8" s="18"/>
      <c r="E8" s="18"/>
      <c r="F8" s="18"/>
      <c r="G8" s="18"/>
      <c r="H8" s="9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ht="159" customHeight="1">
      <c r="A9" s="18"/>
      <c r="B9" s="114" t="s">
        <v>131</v>
      </c>
      <c r="C9" s="102" t="s">
        <v>132</v>
      </c>
      <c r="D9" s="47" t="s">
        <v>206</v>
      </c>
      <c r="E9" s="104"/>
      <c r="F9" s="80"/>
      <c r="G9" s="49">
        <f>'Sit.Saúde'!E77*F9</f>
        <v>0</v>
      </c>
      <c r="H9" s="107" t="s">
        <v>576</v>
      </c>
      <c r="I9" s="36">
        <f>G9*1</f>
        <v>0</v>
      </c>
      <c r="J9" s="50" t="s">
        <v>207</v>
      </c>
      <c r="K9" s="47" t="s">
        <v>488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ht="68.25" customHeight="1">
      <c r="A10" s="18"/>
      <c r="B10" s="454" t="s">
        <v>129</v>
      </c>
      <c r="C10" s="453" t="s">
        <v>130</v>
      </c>
      <c r="D10" s="53" t="s">
        <v>206</v>
      </c>
      <c r="E10" s="48"/>
      <c r="F10" s="81"/>
      <c r="G10" s="54">
        <f>SUM('Sit.Saúde'!E$78:E$79)*F10</f>
        <v>0</v>
      </c>
      <c r="H10" s="55" t="s">
        <v>158</v>
      </c>
      <c r="I10" s="64">
        <f>G10*2</f>
        <v>0</v>
      </c>
      <c r="J10" s="106" t="s">
        <v>207</v>
      </c>
      <c r="K10" s="53" t="s">
        <v>488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68.25" customHeight="1">
      <c r="A11" s="18"/>
      <c r="B11" s="532"/>
      <c r="C11" s="453"/>
      <c r="D11" s="113" t="s">
        <v>188</v>
      </c>
      <c r="E11" s="48"/>
      <c r="F11" s="81"/>
      <c r="G11" s="54">
        <f>SUM('Sit.Saúde'!E$78:E$79)*F11</f>
        <v>0</v>
      </c>
      <c r="H11" s="55" t="s">
        <v>158</v>
      </c>
      <c r="I11" s="34">
        <f>G11*1</f>
        <v>0</v>
      </c>
      <c r="J11" s="57" t="s">
        <v>208</v>
      </c>
      <c r="K11" s="53" t="s">
        <v>488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ht="53.25" customHeight="1">
      <c r="A12" s="18"/>
      <c r="B12" s="532" t="s">
        <v>128</v>
      </c>
      <c r="C12" s="534" t="s">
        <v>127</v>
      </c>
      <c r="D12" s="435" t="s">
        <v>187</v>
      </c>
      <c r="E12" s="48"/>
      <c r="F12" s="81"/>
      <c r="G12" s="54">
        <f>Cadastro!G31*F12</f>
        <v>0</v>
      </c>
      <c r="H12" s="55" t="s">
        <v>307</v>
      </c>
      <c r="I12" s="108">
        <f>G12*1</f>
        <v>0</v>
      </c>
      <c r="J12" s="106" t="s">
        <v>454</v>
      </c>
      <c r="K12" s="109" t="s">
        <v>488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ht="61.5" customHeight="1">
      <c r="A13" s="18"/>
      <c r="B13" s="533"/>
      <c r="C13" s="535"/>
      <c r="D13" s="436"/>
      <c r="E13" s="48"/>
      <c r="F13" s="81"/>
      <c r="G13" s="54">
        <f>Cadastro!G31*F13</f>
        <v>0</v>
      </c>
      <c r="H13" s="55" t="s">
        <v>307</v>
      </c>
      <c r="I13" s="34">
        <f>G13*0.8</f>
        <v>0</v>
      </c>
      <c r="J13" s="55" t="s">
        <v>455</v>
      </c>
      <c r="K13" s="53" t="s">
        <v>488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53.25" customHeight="1">
      <c r="A14" s="18"/>
      <c r="B14" s="443"/>
      <c r="C14" s="536"/>
      <c r="D14" s="527"/>
      <c r="E14" s="48"/>
      <c r="F14" s="81"/>
      <c r="G14" s="105">
        <f>SUM('Sit.Saúde'!E78:E79)*F14</f>
        <v>0</v>
      </c>
      <c r="H14" s="55" t="s">
        <v>158</v>
      </c>
      <c r="I14" s="108">
        <f>G14*1</f>
        <v>0</v>
      </c>
      <c r="J14" s="107" t="s">
        <v>456</v>
      </c>
      <c r="K14" s="98" t="s">
        <v>488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ht="75" customHeight="1">
      <c r="A15" s="18"/>
      <c r="B15" s="532" t="s">
        <v>126</v>
      </c>
      <c r="C15" s="531" t="s">
        <v>5</v>
      </c>
      <c r="D15" s="53" t="s">
        <v>206</v>
      </c>
      <c r="E15" s="104"/>
      <c r="F15" s="81"/>
      <c r="G15" s="54">
        <f>'Sit.Saúde'!E$77*F9</f>
        <v>0</v>
      </c>
      <c r="H15" s="55" t="s">
        <v>576</v>
      </c>
      <c r="I15" s="110">
        <f>G15/20*1</f>
        <v>0</v>
      </c>
      <c r="J15" s="55" t="s">
        <v>210</v>
      </c>
      <c r="K15" s="53" t="s">
        <v>488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75" customHeight="1">
      <c r="A16" s="18"/>
      <c r="B16" s="443"/>
      <c r="C16" s="442"/>
      <c r="D16" s="53" t="s">
        <v>188</v>
      </c>
      <c r="E16" s="101"/>
      <c r="F16" s="81"/>
      <c r="G16" s="54">
        <f>'Sit.Saúde'!E$77*F10</f>
        <v>0</v>
      </c>
      <c r="H16" s="55" t="s">
        <v>576</v>
      </c>
      <c r="I16" s="34">
        <f>G16/20*1</f>
        <v>0</v>
      </c>
      <c r="J16" s="55" t="s">
        <v>210</v>
      </c>
      <c r="K16" s="47" t="s">
        <v>488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140.25" customHeight="1">
      <c r="A17" s="18"/>
      <c r="B17" s="72" t="s">
        <v>133</v>
      </c>
      <c r="C17" s="73" t="s">
        <v>4</v>
      </c>
      <c r="D17" s="58" t="s">
        <v>188</v>
      </c>
      <c r="E17" s="100"/>
      <c r="F17" s="82"/>
      <c r="G17" s="59">
        <f>'Sit.Saúde'!E$77*F11</f>
        <v>0</v>
      </c>
      <c r="H17" s="106" t="s">
        <v>576</v>
      </c>
      <c r="I17" s="31">
        <f>G17*2</f>
        <v>0</v>
      </c>
      <c r="J17" s="112" t="s">
        <v>348</v>
      </c>
      <c r="K17" s="61" t="s">
        <v>488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ht="14.25">
      <c r="A18" s="18"/>
      <c r="B18" s="97"/>
      <c r="C18" s="97"/>
      <c r="D18" s="97"/>
      <c r="E18" s="42"/>
      <c r="F18" s="97"/>
      <c r="G18" s="97"/>
      <c r="H18" s="111"/>
      <c r="I18" s="111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</row>
    <row r="19" spans="1:55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</row>
    <row r="20" spans="1:55" ht="14.25">
      <c r="A20" s="18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</row>
    <row r="21" spans="1:55" ht="14.25">
      <c r="A21" s="18"/>
      <c r="B21" s="97"/>
      <c r="C21" s="97"/>
      <c r="D21" s="97"/>
      <c r="E21" s="97"/>
      <c r="F21" s="97"/>
      <c r="G21" s="97"/>
      <c r="H21" s="42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</row>
    <row r="22" spans="1:55" ht="14.25">
      <c r="A22" s="18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</row>
    <row r="23" s="97" customFormat="1" ht="14.25">
      <c r="A23" s="18"/>
    </row>
    <row r="24" s="97" customFormat="1" ht="14.25"/>
    <row r="25" s="97" customFormat="1" ht="14.25"/>
    <row r="26" s="97" customFormat="1" ht="14.25"/>
    <row r="27" s="97" customFormat="1" ht="14.25"/>
    <row r="28" s="97" customFormat="1" ht="14.25"/>
    <row r="29" s="97" customFormat="1" ht="14.25"/>
    <row r="30" s="97" customFormat="1" ht="14.25"/>
    <row r="31" s="97" customFormat="1" ht="14.25"/>
    <row r="32" s="97" customFormat="1" ht="14.25"/>
    <row r="33" s="97" customFormat="1" ht="14.25"/>
    <row r="34" s="97" customFormat="1" ht="14.25"/>
    <row r="35" s="97" customFormat="1" ht="14.25"/>
    <row r="36" s="97" customFormat="1" ht="14.25"/>
    <row r="37" s="97" customFormat="1" ht="14.25"/>
    <row r="38" s="97" customFormat="1" ht="14.25"/>
    <row r="39" s="97" customFormat="1" ht="14.25"/>
    <row r="40" s="97" customFormat="1" ht="14.25"/>
    <row r="41" s="97" customFormat="1" ht="14.25"/>
    <row r="42" s="97" customFormat="1" ht="14.25"/>
    <row r="43" s="97" customFormat="1" ht="14.25"/>
    <row r="44" s="97" customFormat="1" ht="14.25"/>
    <row r="45" s="97" customFormat="1" ht="14.25"/>
    <row r="46" s="97" customFormat="1" ht="14.25"/>
    <row r="47" s="97" customFormat="1" ht="14.25"/>
    <row r="48" s="97" customFormat="1" ht="14.25"/>
    <row r="49" s="97" customFormat="1" ht="14.25"/>
    <row r="50" s="97" customFormat="1" ht="14.25"/>
    <row r="51" s="97" customFormat="1" ht="14.25"/>
    <row r="52" s="97" customFormat="1" ht="14.25"/>
    <row r="53" s="97" customFormat="1" ht="14.25"/>
    <row r="54" s="97" customFormat="1" ht="14.25"/>
    <row r="55" s="97" customFormat="1" ht="14.25"/>
    <row r="56" s="97" customFormat="1" ht="14.25"/>
    <row r="57" s="97" customFormat="1" ht="14.25"/>
    <row r="58" s="97" customFormat="1" ht="14.25"/>
    <row r="59" s="97" customFormat="1" ht="14.25"/>
    <row r="60" s="97" customFormat="1" ht="14.25"/>
    <row r="61" s="97" customFormat="1" ht="14.25"/>
    <row r="62" s="97" customFormat="1" ht="14.25"/>
    <row r="63" s="97" customFormat="1" ht="14.25"/>
    <row r="64" s="97" customFormat="1" ht="14.25"/>
    <row r="65" s="97" customFormat="1" ht="14.25"/>
    <row r="66" s="97" customFormat="1" ht="14.25"/>
    <row r="67" s="97" customFormat="1" ht="14.25"/>
    <row r="68" s="97" customFormat="1" ht="14.25"/>
    <row r="69" s="97" customFormat="1" ht="14.25"/>
    <row r="70" s="97" customFormat="1" ht="14.25"/>
    <row r="71" s="97" customFormat="1" ht="14.25"/>
    <row r="72" s="97" customFormat="1" ht="14.25"/>
    <row r="73" s="97" customFormat="1" ht="14.25"/>
    <row r="74" s="97" customFormat="1" ht="14.25"/>
    <row r="75" s="97" customFormat="1" ht="14.25"/>
    <row r="76" s="97" customFormat="1" ht="14.25"/>
    <row r="77" s="97" customFormat="1" ht="14.25"/>
    <row r="78" s="97" customFormat="1" ht="14.25"/>
    <row r="79" s="97" customFormat="1" ht="14.25"/>
    <row r="80" s="97" customFormat="1" ht="14.25"/>
    <row r="81" s="97" customFormat="1" ht="14.25"/>
    <row r="82" s="97" customFormat="1" ht="14.25"/>
    <row r="83" s="97" customFormat="1" ht="14.25"/>
    <row r="84" s="97" customFormat="1" ht="14.25"/>
    <row r="85" s="97" customFormat="1" ht="14.25"/>
    <row r="86" s="97" customFormat="1" ht="14.25"/>
    <row r="87" s="97" customFormat="1" ht="14.25"/>
    <row r="88" s="97" customFormat="1" ht="14.25"/>
    <row r="89" s="97" customFormat="1" ht="14.25"/>
    <row r="90" s="97" customFormat="1" ht="14.25"/>
    <row r="91" s="97" customFormat="1" ht="14.25"/>
    <row r="92" s="97" customFormat="1" ht="14.25"/>
  </sheetData>
  <sheetProtection sheet="1" objects="1" scenarios="1"/>
  <mergeCells count="14">
    <mergeCell ref="D12:D14"/>
    <mergeCell ref="B7:K7"/>
    <mergeCell ref="C15:C16"/>
    <mergeCell ref="B10:B11"/>
    <mergeCell ref="C10:C11"/>
    <mergeCell ref="B12:B14"/>
    <mergeCell ref="C12:C14"/>
    <mergeCell ref="B15:B16"/>
    <mergeCell ref="I5:J5"/>
    <mergeCell ref="B1:K1"/>
    <mergeCell ref="F4:K4"/>
    <mergeCell ref="B4:D4"/>
    <mergeCell ref="G5:H5"/>
    <mergeCell ref="B2:K2"/>
  </mergeCells>
  <printOptions/>
  <pageMargins left="0.7874015748031497" right="0.7874015748031497" top="0.984251968503937" bottom="0.49" header="0.5118110236220472" footer="0.5118110236220472"/>
  <pageSetup fitToHeight="1" fitToWidth="1" horizontalDpi="300" verticalDpi="3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wagnerf</cp:lastModifiedBy>
  <cp:lastPrinted>2007-06-24T22:30:07Z</cp:lastPrinted>
  <dcterms:created xsi:type="dcterms:W3CDTF">2006-06-18T13:43:10Z</dcterms:created>
  <dcterms:modified xsi:type="dcterms:W3CDTF">2007-10-15T19:03:01Z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